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с 01.01.2010" sheetId="2" r:id="rId2"/>
  </sheets>
  <definedNames/>
  <calcPr fullCalcOnLoad="1"/>
</workbook>
</file>

<file path=xl/sharedStrings.xml><?xml version="1.0" encoding="utf-8"?>
<sst xmlns="http://schemas.openxmlformats.org/spreadsheetml/2006/main" count="1922" uniqueCount="569">
  <si>
    <t xml:space="preserve">                                                                  Общество с ограниченной ответственностью</t>
  </si>
  <si>
    <t xml:space="preserve">                                                                           НПФ "Омрезинотехника"</t>
  </si>
  <si>
    <t xml:space="preserve">                                                                   644076, Россия, г.Омск, Космический проспект, 109"А"</t>
  </si>
  <si>
    <t xml:space="preserve">                                                                                 http://omrezinotehnika.vdnh.ru</t>
  </si>
  <si>
    <t xml:space="preserve">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</si>
  <si>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Директор ООО "НПФ Омрезинотехника"</t>
  </si>
  <si>
    <t xml:space="preserve">                                                                                                               _______________________Михайлусь О.Г.</t>
  </si>
  <si>
    <t xml:space="preserve">                                                                                                                                         01 июля 2009 года</t>
  </si>
  <si>
    <t xml:space="preserve">                                                                    ПРАЙС-ЛИСТ от 01.07.2009г.</t>
  </si>
  <si>
    <t xml:space="preserve">                                                            ТОВАРЫ НАРОДНОГО ПОТРЕБЛЕНИЯ</t>
  </si>
  <si>
    <t xml:space="preserve">№ </t>
  </si>
  <si>
    <t xml:space="preserve">Наименование изделия </t>
  </si>
  <si>
    <t>Ед.изм.</t>
  </si>
  <si>
    <t>Цена,руб.</t>
  </si>
  <si>
    <t>Коврики бытовые 1000х7000</t>
  </si>
  <si>
    <t>шт</t>
  </si>
  <si>
    <t>коврики бытовые 500х500</t>
  </si>
  <si>
    <t>коврики автомобильные ВАЗ-2108,09   цветные</t>
  </si>
  <si>
    <t>компл.</t>
  </si>
  <si>
    <t>кольцо для перевозки газового балона (пропан)</t>
  </si>
  <si>
    <t>шт.</t>
  </si>
  <si>
    <t>уплотнение для фляги, ТУ 38.105376-92</t>
  </si>
  <si>
    <t>пробка для бутылки d=45 мм</t>
  </si>
  <si>
    <t>плитка тротуарная резиновая 300х300х30</t>
  </si>
  <si>
    <t>окантовка для ступеней (П-66)</t>
  </si>
  <si>
    <t>п.м.</t>
  </si>
  <si>
    <t xml:space="preserve">                       изделия для сельского хозяйства</t>
  </si>
  <si>
    <t>Амортизатор АКСС-220М ГОСТ 17053.1-80</t>
  </si>
  <si>
    <t>Манжета гидравлическая 45х65. ГОСТ 6969-54</t>
  </si>
  <si>
    <t>пластина резинотканевая ДЕКОшелушильного станка</t>
  </si>
  <si>
    <t>маты для животноводства 1870х1080х16</t>
  </si>
  <si>
    <t>манжета 45х35 ГОСТ 14896-84</t>
  </si>
  <si>
    <t>манжета 220х200 ГОСТ 14896-84</t>
  </si>
  <si>
    <t>манжета 80х65</t>
  </si>
  <si>
    <t>манжета 80х60</t>
  </si>
  <si>
    <t>манжета молокопровода 3Н-006</t>
  </si>
  <si>
    <t>манжета полевого трубопровода 131х108х106</t>
  </si>
  <si>
    <t>манжета 38</t>
  </si>
  <si>
    <t>манжета 12х22 (с канавкой)</t>
  </si>
  <si>
    <t>манжета-колпачек 22</t>
  </si>
  <si>
    <t>манжета 80х100 ГОСТ 14896-84</t>
  </si>
  <si>
    <t>манжета 85х75 ГОСТ 14896-84</t>
  </si>
  <si>
    <t>манжета 160х180 ГОСТ 14896-84</t>
  </si>
  <si>
    <t>манжета 320х340 ГОСТ 14896-84</t>
  </si>
  <si>
    <t>манжета 170х200 ГОСТ 6969</t>
  </si>
  <si>
    <t>манжета сепаратора 16</t>
  </si>
  <si>
    <t>манжета сепаратора 36</t>
  </si>
  <si>
    <t>манжета 95х105</t>
  </si>
  <si>
    <t>манжета 30х50</t>
  </si>
  <si>
    <t>манжета 36х25</t>
  </si>
  <si>
    <t>мембрана-манжета 2-1800/2 для опрыскивателя (15х110)</t>
  </si>
  <si>
    <t>сосок для агрегата доения кобылицы</t>
  </si>
  <si>
    <t>шина массивная 450х360х52</t>
  </si>
  <si>
    <t>шина массивная культиваторная 280х215х95</t>
  </si>
  <si>
    <t>шина массивная 120х65х40</t>
  </si>
  <si>
    <t>шина массивная 190х120х45</t>
  </si>
  <si>
    <t>шина массивная 165х120х45</t>
  </si>
  <si>
    <t>шина массивная для почтовой тележки 378х286х70</t>
  </si>
  <si>
    <t>мембрана сепаратора</t>
  </si>
  <si>
    <t>ползун</t>
  </si>
  <si>
    <t>подушка для Pektus</t>
  </si>
  <si>
    <t>подшипник для водяного насоса</t>
  </si>
  <si>
    <t>подушка ПГА3500.120.03 (круглая)</t>
  </si>
  <si>
    <t>била № 2 (88*98*16)</t>
  </si>
  <si>
    <t>била № 1 на скрепмашину К7-ФУ-2Щ (230*100*35)</t>
  </si>
  <si>
    <t>била № 3 (160*130*20)</t>
  </si>
  <si>
    <t>бита № 4 на шпар-чан (90*105*27)</t>
  </si>
  <si>
    <t>била № 5 (90*100*20)</t>
  </si>
  <si>
    <t>скребок резинотканевый "Енисей"</t>
  </si>
  <si>
    <t>била ЛОГ-2 (пластина 300*95*10)</t>
  </si>
  <si>
    <t>скребок резино-тканевый "Нива"</t>
  </si>
  <si>
    <t>бандаж резиновый поддерживающего катка Т-4</t>
  </si>
  <si>
    <t>бандаж резиновый поддерживающего катка ДТ-75</t>
  </si>
  <si>
    <t>скребок снегоуборочной машины 500х200х20</t>
  </si>
  <si>
    <t>скребок снегоуборочной машины 500х300х40</t>
  </si>
  <si>
    <t>семяпровод</t>
  </si>
  <si>
    <t>молокопровод d=14 2,5 п.м. (зеленый)</t>
  </si>
  <si>
    <t>кольцо коробки передач 50х64</t>
  </si>
  <si>
    <t>мембрана ВЦПС (Щетка резиновая зерноочистительная) сепаратора БЦС50,100</t>
  </si>
  <si>
    <t>Кольца резиновые уплотнительные круглого сечения, ГОСТ 9833-73</t>
  </si>
  <si>
    <t>110-130-10</t>
  </si>
  <si>
    <t>015-017-15</t>
  </si>
  <si>
    <t>008-011-19</t>
  </si>
  <si>
    <t>012-015-19</t>
  </si>
  <si>
    <t>019-022-19</t>
  </si>
  <si>
    <t>013-016-19</t>
  </si>
  <si>
    <t>006-010-25</t>
  </si>
  <si>
    <t>010-015-25</t>
  </si>
  <si>
    <t>011-015-25</t>
  </si>
  <si>
    <t>012-016-25</t>
  </si>
  <si>
    <t>016-020-25</t>
  </si>
  <si>
    <t>065-070-25</t>
  </si>
  <si>
    <t>150-155-25</t>
  </si>
  <si>
    <t>013-018-30</t>
  </si>
  <si>
    <t>016-021-30</t>
  </si>
  <si>
    <t>017-022-30</t>
  </si>
  <si>
    <t>025-030-30</t>
  </si>
  <si>
    <t>075-080-30</t>
  </si>
  <si>
    <t>105-110-30</t>
  </si>
  <si>
    <t>040-045-33</t>
  </si>
  <si>
    <t>045-050-33</t>
  </si>
  <si>
    <t>085-090-33</t>
  </si>
  <si>
    <t>120-125-33</t>
  </si>
  <si>
    <t>У 125-120-33</t>
  </si>
  <si>
    <t>У 165-170-33</t>
  </si>
  <si>
    <t>018-024-36</t>
  </si>
  <si>
    <t>019-025-36</t>
  </si>
  <si>
    <t>022-028-36</t>
  </si>
  <si>
    <t>025-031-36</t>
  </si>
  <si>
    <t>030-036-36</t>
  </si>
  <si>
    <t>070-076-36</t>
  </si>
  <si>
    <t>075-081-36</t>
  </si>
  <si>
    <t>085-091-36</t>
  </si>
  <si>
    <t>086-092-36</t>
  </si>
  <si>
    <t>090-096-36</t>
  </si>
  <si>
    <t>120-125-36</t>
  </si>
  <si>
    <t>120-126-36</t>
  </si>
  <si>
    <t>125-130-36</t>
  </si>
  <si>
    <t>155-160-36</t>
  </si>
  <si>
    <t>140-148-40</t>
  </si>
  <si>
    <t>028-036-46</t>
  </si>
  <si>
    <t>030-038-46</t>
  </si>
  <si>
    <t>035-045-46</t>
  </si>
  <si>
    <t>036-045-46</t>
  </si>
  <si>
    <t>040-048-46</t>
  </si>
  <si>
    <t>054-062-46</t>
  </si>
  <si>
    <t>060-068-46</t>
  </si>
  <si>
    <t>070-078-46</t>
  </si>
  <si>
    <t>082-090-46</t>
  </si>
  <si>
    <t>088-095-46</t>
  </si>
  <si>
    <t>090-098-46</t>
  </si>
  <si>
    <t>110х120-46</t>
  </si>
  <si>
    <t>122-130-46</t>
  </si>
  <si>
    <t>125-135-46</t>
  </si>
  <si>
    <t>145-155-46</t>
  </si>
  <si>
    <t>90-100-50</t>
  </si>
  <si>
    <t>040-050-58</t>
  </si>
  <si>
    <t>050-060-58</t>
  </si>
  <si>
    <t>060-070-58</t>
  </si>
  <si>
    <t>063-073-58</t>
  </si>
  <si>
    <t>065-075-58</t>
  </si>
  <si>
    <t>070-080-58</t>
  </si>
  <si>
    <t>075-085-58</t>
  </si>
  <si>
    <t>080-090-58</t>
  </si>
  <si>
    <t>085-095-58</t>
  </si>
  <si>
    <t>090-100-58</t>
  </si>
  <si>
    <t>100-110-58</t>
  </si>
  <si>
    <t>115-125-58</t>
  </si>
  <si>
    <t>130-140-58</t>
  </si>
  <si>
    <t>170-180-58</t>
  </si>
  <si>
    <t>210-220-58</t>
  </si>
  <si>
    <t>9,6х3</t>
  </si>
  <si>
    <t>75х8</t>
  </si>
  <si>
    <t>76х8</t>
  </si>
  <si>
    <t>108х1,8</t>
  </si>
  <si>
    <t>130х5,5</t>
  </si>
  <si>
    <t>091-075-80</t>
  </si>
  <si>
    <t>28х65х1</t>
  </si>
  <si>
    <t>44х53х1,5</t>
  </si>
  <si>
    <t>42х54х5</t>
  </si>
  <si>
    <t>51х63х5</t>
  </si>
  <si>
    <t>40х53х3</t>
  </si>
  <si>
    <t>54х64х5,5</t>
  </si>
  <si>
    <t>44х70х4</t>
  </si>
  <si>
    <t>46х55х4</t>
  </si>
  <si>
    <t>80х90х4</t>
  </si>
  <si>
    <t>122х128х4</t>
  </si>
  <si>
    <t>49х62х13</t>
  </si>
  <si>
    <t>26х39х5</t>
  </si>
  <si>
    <t>52х70х5</t>
  </si>
  <si>
    <t>54х66-5</t>
  </si>
  <si>
    <t>55х65х5</t>
  </si>
  <si>
    <t>116х129х5</t>
  </si>
  <si>
    <t>118х130х5</t>
  </si>
  <si>
    <t>100х120х5</t>
  </si>
  <si>
    <t>17х32х6</t>
  </si>
  <si>
    <t>45х61х6</t>
  </si>
  <si>
    <t>121х136х5</t>
  </si>
  <si>
    <t>125х132х6</t>
  </si>
  <si>
    <t>50х66х7</t>
  </si>
  <si>
    <t>78х90х7</t>
  </si>
  <si>
    <t>40х60х5,5</t>
  </si>
  <si>
    <t>92,5х102х7</t>
  </si>
  <si>
    <t>112х126х8</t>
  </si>
  <si>
    <t>116х129х8</t>
  </si>
  <si>
    <t>123х138х8</t>
  </si>
  <si>
    <t>27х40х6</t>
  </si>
  <si>
    <t>126х142х8</t>
  </si>
  <si>
    <t>130х139х14</t>
  </si>
  <si>
    <t xml:space="preserve">58х73х10 МБС </t>
  </si>
  <si>
    <t>102х122х10</t>
  </si>
  <si>
    <t>128х135х12</t>
  </si>
  <si>
    <t>Втулка Д 30</t>
  </si>
  <si>
    <t>Кольца резиновые уплотнительные прямоугольного сечения ТУ 38.105376-92</t>
  </si>
  <si>
    <r>
      <t xml:space="preserve">                           </t>
    </r>
    <r>
      <rPr>
        <sz val="14"/>
        <rFont val="Arial"/>
        <family val="2"/>
      </rPr>
      <t>Ремни ГОСТ 23831-79</t>
    </r>
  </si>
  <si>
    <t>Зерномет</t>
  </si>
  <si>
    <t>Плоский ремень 520х2560 мм</t>
  </si>
  <si>
    <t>Плоский ремень 300х2560 мм</t>
  </si>
  <si>
    <t>Жатка</t>
  </si>
  <si>
    <t>Лента жатки ременно-планчатая литая, патент №47659(компл.5рем.</t>
  </si>
  <si>
    <t>длиной по 10,5</t>
  </si>
  <si>
    <t>Лента жатки ЖНУ-6Б.0005, литая патент №47659</t>
  </si>
  <si>
    <t>п/м</t>
  </si>
  <si>
    <t>Кольцо уплотнительное 012-016-25-2-2</t>
  </si>
  <si>
    <t>Окантовка ЖКН-0058</t>
  </si>
  <si>
    <t>Окантовка ЖКН-0078</t>
  </si>
  <si>
    <t>Втулка ЖС 0001(36х15х29)</t>
  </si>
  <si>
    <t>Втулка ЖВУ 0001</t>
  </si>
  <si>
    <t>Прессподборщик</t>
  </si>
  <si>
    <t>Ремень для подачи зерна 500х11000 (КШП)</t>
  </si>
  <si>
    <t>Льноуборочный комбайн</t>
  </si>
  <si>
    <t>Ремень теребильный 11-ЛК-А</t>
  </si>
  <si>
    <t>Ремень зажимной ЛКВ 08.003</t>
  </si>
  <si>
    <t>Втулка</t>
  </si>
  <si>
    <t>Втулка 23-15-7</t>
  </si>
  <si>
    <t>Втулка 70-38-35 для комбайна "Дон"</t>
  </si>
  <si>
    <t>Втулка 65-30-55 для комбайна "Дон"</t>
  </si>
  <si>
    <t>Маркировка</t>
  </si>
  <si>
    <t>Толщина, мм</t>
  </si>
  <si>
    <t xml:space="preserve">                                    2М (МОРОЗОСТОЙКАЯ)</t>
  </si>
  <si>
    <t>2М 2 ТК-200 5-2</t>
  </si>
  <si>
    <t>2М 3 ТК-200 5-2</t>
  </si>
  <si>
    <t>2М 4 ТК-200 5-2</t>
  </si>
  <si>
    <t>2М 5 ТК-200 5-2</t>
  </si>
  <si>
    <t>2М 6 ТК-200 5-2</t>
  </si>
  <si>
    <t>2М 7 ТК-200 5-2</t>
  </si>
  <si>
    <t xml:space="preserve">                                    2Т1 (ТЕПЛОСТОЙКАЯ)</t>
  </si>
  <si>
    <t>2Т1 2 ТК-200 6-2</t>
  </si>
  <si>
    <t>2Т1 3 ТК-200 6-2</t>
  </si>
  <si>
    <t>2Т1 4 ТК-200 6-2</t>
  </si>
  <si>
    <t>2Т1 5 ТК-200 6-2</t>
  </si>
  <si>
    <t>2Т1 6 ТК-200 6-2</t>
  </si>
  <si>
    <t>2Т1 7 ТК-200 6-2</t>
  </si>
  <si>
    <t xml:space="preserve">                                     2Ш4 (ШАХТНАЯ)</t>
  </si>
  <si>
    <t>2Ш4 2 ТК-200 4,5-3,5</t>
  </si>
  <si>
    <t>2Ш4 3 ТК-200 4,5-3,5</t>
  </si>
  <si>
    <t>2Ш4 4 ТК-200 4,5-3,5</t>
  </si>
  <si>
    <t>2Ш4 5 ТК-200 4,5-3,5</t>
  </si>
  <si>
    <t>2Ш4 6 ТК-200 4,5-3,5</t>
  </si>
  <si>
    <t>2Ш4 7 ТК-200 4,5-3,5</t>
  </si>
  <si>
    <t xml:space="preserve">                                     3 (ОБЛЕГЧЕННАЯ)</t>
  </si>
  <si>
    <t>3 2 ТК-200-2 2-0</t>
  </si>
  <si>
    <t>3 3 ТК-200-2 2-0</t>
  </si>
  <si>
    <t>3 4 ТК-200-2 2-0</t>
  </si>
  <si>
    <t>3 5 ТК-200-2 2-0</t>
  </si>
  <si>
    <t>3 6 ТК-200-2 2-0</t>
  </si>
  <si>
    <t>3 7 ТК-200-2 2-0</t>
  </si>
  <si>
    <t xml:space="preserve">                                     2Л (ОБЛЕГЧЕННАЯ)</t>
  </si>
  <si>
    <t>2Л 2 ТК-200-2 3-1</t>
  </si>
  <si>
    <t>2Л 3 ТК-200-2 3-1</t>
  </si>
  <si>
    <t>2Л 4 ТК-200-2 3-1</t>
  </si>
  <si>
    <t>2Л 5 ТК-200-2 3-1</t>
  </si>
  <si>
    <t>2Л 6 ТК-200-2 3-1</t>
  </si>
  <si>
    <t>2Л 7 ТК-200-2 3-1</t>
  </si>
  <si>
    <t xml:space="preserve">                                      2П1 (ПИЩЕВАЯ)</t>
  </si>
  <si>
    <t>2П1 2 ТК-200-2 3-1</t>
  </si>
  <si>
    <t>2П1 3 ТК-200-2 3-1</t>
  </si>
  <si>
    <t>2П1 4 ТК-200-2 3-1</t>
  </si>
  <si>
    <t>2П1 5 ТК-200-2 3-1</t>
  </si>
  <si>
    <t>2П1 6 ТК-200-2 3-1</t>
  </si>
  <si>
    <t>2П1 7 ТК-200-2 3-1</t>
  </si>
  <si>
    <t xml:space="preserve">                                      3П1 (ПИЩЕВАЯ)</t>
  </si>
  <si>
    <t>3П1 2 ТК-200-2 2-0</t>
  </si>
  <si>
    <t>3П1 3 ТК-200-2 2-0</t>
  </si>
  <si>
    <t>3П1 4 ТК-200-2 2-0</t>
  </si>
  <si>
    <t>3П1 5 ТК-200-2 2-0</t>
  </si>
  <si>
    <t>ЗП1 6 ТК-200-2 2-0</t>
  </si>
  <si>
    <t>3П1 7 ТК-200-2 2-0</t>
  </si>
  <si>
    <t>Лента конвейерная резинотканевая, ГОСТ 20-85 ширина до 1000мм</t>
  </si>
  <si>
    <t>за 1 кв.м</t>
  </si>
  <si>
    <t>Втулка грохота 44-17-28 (44.00.238) Для комбайна "Енисей"</t>
  </si>
  <si>
    <t>Втулка грохота 61-30-33 (44.00.239) Для комбайна "Енисей"</t>
  </si>
  <si>
    <t>Плоский ремень 400х7000 мм (3ПС-100)</t>
  </si>
  <si>
    <t>Лента для косилки МакДон, литая 1050х7500 (к.н.101912)</t>
  </si>
  <si>
    <t>Плоский ремень 3000х450 (ПРП-1,6)</t>
  </si>
  <si>
    <t>Плоский ремень 11000х250 (ПРП-1,6)</t>
  </si>
  <si>
    <t>Лента для кормораздатчиков с зацепами 600х4800 (КТУ-9-11)</t>
  </si>
  <si>
    <t>Ремень транспортера ПК-115 Б (600 2 ТК-200 3,1     4,6п.м.)</t>
  </si>
  <si>
    <r>
      <t xml:space="preserve">                                                         </t>
    </r>
    <r>
      <rPr>
        <b/>
        <sz val="10"/>
        <rFont val="Arial"/>
        <family val="2"/>
      </rPr>
      <t>ИЗДЕЛИЯ ДЛЯ ПРОМЫШЛЕННОСТИ</t>
    </r>
  </si>
  <si>
    <t>№</t>
  </si>
  <si>
    <t xml:space="preserve">                          наименование изделия</t>
  </si>
  <si>
    <t>ед.изм.</t>
  </si>
  <si>
    <t>цена, руб.</t>
  </si>
  <si>
    <t>Амортизатор БР 80-1</t>
  </si>
  <si>
    <t>Амортизатор БР 100-1</t>
  </si>
  <si>
    <t>Втулка упругой муфты 35х18х36</t>
  </si>
  <si>
    <t>Втулка упругой муфты 38х24х38</t>
  </si>
  <si>
    <t>Втулка упругой муфты 58х34х58</t>
  </si>
  <si>
    <t>Втулка упругой муфты 66х45х58</t>
  </si>
  <si>
    <t>Кольцо для полумуфты 6-отверстий</t>
  </si>
  <si>
    <t>Прокладка для теплообменников</t>
  </si>
  <si>
    <t>Прокладка для мембран газовой установки</t>
  </si>
  <si>
    <t>Прокладка тосольная</t>
  </si>
  <si>
    <t>Мембрана 1-ой ступени</t>
  </si>
  <si>
    <t>Манжета 250х290</t>
  </si>
  <si>
    <t>Манжета шевронная М63х83-2</t>
  </si>
  <si>
    <t>Манжета шевронная КО-63х83-2</t>
  </si>
  <si>
    <t>Манжета шевронная КН-63х83-2</t>
  </si>
  <si>
    <t>Манжета шевронная 65х90-2</t>
  </si>
  <si>
    <t>Манжета шевронная 70х95-2</t>
  </si>
  <si>
    <t>Манжета шевронная 75х100-2</t>
  </si>
  <si>
    <t>Манжета шевронная 80х105-2</t>
  </si>
  <si>
    <t>Манжета шевронная 100х125-2</t>
  </si>
  <si>
    <t>Манжета шевронная 90х115-2</t>
  </si>
  <si>
    <t>Манжета шевронная 90х120-2</t>
  </si>
  <si>
    <t>Манжета шевронная 110х140-2</t>
  </si>
  <si>
    <t>Манжета шевронная 120х150-2</t>
  </si>
  <si>
    <t>Манжета шевронная 125х155-2</t>
  </si>
  <si>
    <t>Манжета шевронная 130х160х2</t>
  </si>
  <si>
    <t>Манжета шевронная 140х160-2</t>
  </si>
  <si>
    <t>Манжета шевронная 140х170-2</t>
  </si>
  <si>
    <t>Манжета шевронная 150х180-2</t>
  </si>
  <si>
    <t>Манжета шевронная КО 150х180-2</t>
  </si>
  <si>
    <t>Манжета шевронная КН 150х180-2</t>
  </si>
  <si>
    <t>Манжета шевронная 160х190-2</t>
  </si>
  <si>
    <t>Манжета шевронная 180х210-2</t>
  </si>
  <si>
    <t>Манжета шевронная 190х220-2</t>
  </si>
  <si>
    <t>Манжета шевронная 190х150-37</t>
  </si>
  <si>
    <t>Манжета шевронная 220х230-2</t>
  </si>
  <si>
    <t>Манжета шевронная 220х250-2</t>
  </si>
  <si>
    <t>Манжета шевронная 280х320-2</t>
  </si>
  <si>
    <t>Манжета шевронная 320х360</t>
  </si>
  <si>
    <t>Манжета шевронная 10х22-2 ГОСТ 22704-77</t>
  </si>
  <si>
    <t xml:space="preserve">Манжета шевронная 15х25-2 </t>
  </si>
  <si>
    <t xml:space="preserve">Манжета шевронная 14х26-2 </t>
  </si>
  <si>
    <t xml:space="preserve">Манжета шевронная 16х28-2 </t>
  </si>
  <si>
    <t xml:space="preserve">Манжета шевронная 20х35-2 </t>
  </si>
  <si>
    <t>Манжета шевронная 25х40-2</t>
  </si>
  <si>
    <t>Манжета шевронная 30х50-2</t>
  </si>
  <si>
    <t>Манжета шевронная 50х70-2</t>
  </si>
  <si>
    <t>Манжета шевронная 40х60-2</t>
  </si>
  <si>
    <t>Манжета шевронная 40х65-2</t>
  </si>
  <si>
    <t>Манжета шевронная 55х70-2</t>
  </si>
  <si>
    <t>Манжета шевронная 60х80-2</t>
  </si>
  <si>
    <t>Уплотнение шевронное (Лайон) 16х20 ГОСТ 2704-77</t>
  </si>
  <si>
    <t>Уплотнение шевронное (Лайон) 20х25 ГОСТ 2704-77</t>
  </si>
  <si>
    <t>Втулка предохранительная 34х20х10</t>
  </si>
  <si>
    <t>Уплотнение 132-100-22</t>
  </si>
  <si>
    <t>Уплотнение 250-170-40</t>
  </si>
  <si>
    <t>Уплотнение 151-16</t>
  </si>
  <si>
    <t>Уплотнение 180-16</t>
  </si>
  <si>
    <t>Уплотнение клапана</t>
  </si>
  <si>
    <t>Уплотнение для задвижек шламовых трубопроводов ДУ-150</t>
  </si>
  <si>
    <t>Уплотнение для задвижек шламовых трубопроводов ДУ-200</t>
  </si>
  <si>
    <t>Прокладка 184-132-32</t>
  </si>
  <si>
    <t>Прокладка 244-170-34</t>
  </si>
  <si>
    <t>Прокладка 372-296-40</t>
  </si>
  <si>
    <t>Прокладка 310-235-38</t>
  </si>
  <si>
    <t>Прокладка-клапан угловой 380-20</t>
  </si>
  <si>
    <t>Прокладка-клапан угловой 341-20</t>
  </si>
  <si>
    <t>Клапан угловой 230-20</t>
  </si>
  <si>
    <t>Прокладка-клапан 280-20</t>
  </si>
  <si>
    <t>Ролик лифта ЭП-1</t>
  </si>
  <si>
    <t>Втулка 120-80-50</t>
  </si>
  <si>
    <t>Втулка 115-95-45</t>
  </si>
  <si>
    <t>Втулка 115-60-45</t>
  </si>
  <si>
    <t>Втулка 64-44-23</t>
  </si>
  <si>
    <t>Втулка 81-54-30</t>
  </si>
  <si>
    <t>Втулка реактивной тяги</t>
  </si>
  <si>
    <t>Втулка для виброднища</t>
  </si>
  <si>
    <t>Втулка для глубинного насоса d=32мм</t>
  </si>
  <si>
    <t>Втулка для глубинного насоса d=52 мм</t>
  </si>
  <si>
    <t>Втулка плавающая 130</t>
  </si>
  <si>
    <t>Дорожка резиновая техническая</t>
  </si>
  <si>
    <t xml:space="preserve">                  прямого кроя 990х700х8</t>
  </si>
  <si>
    <t xml:space="preserve">                  диагональ под углом 80 гр. 990х700х8</t>
  </si>
  <si>
    <t>Паронит резиновый</t>
  </si>
  <si>
    <t>Полотно мембранное 1 слой ОТ, 2 мм</t>
  </si>
  <si>
    <t xml:space="preserve">Пластина техническая вакуумная белая ТУ 38.105116-81 </t>
  </si>
  <si>
    <t>Пластина губчатая ТМКЩ  ТУ38.105867-90</t>
  </si>
  <si>
    <t xml:space="preserve">Пластина губчатая МБС </t>
  </si>
  <si>
    <t>Пластина УМ</t>
  </si>
  <si>
    <t>Пластина резиновая и резинотканевая ТМКЩ шириной до 780 мм ГОСТ 7338-90</t>
  </si>
  <si>
    <t>Пластина резиновая и резинтканевая МБС шириной до 780 мм ГОСТ 7338-90</t>
  </si>
  <si>
    <t>Пластина резиновая и резинотканевая МБС шириной 780-1200мм</t>
  </si>
  <si>
    <t>Пластина резиновая и резинотканевая ТМКЩ шириной 780-1200 мм</t>
  </si>
  <si>
    <t xml:space="preserve">Пластина резиновая и резинотканевая МБС толщ. 2 мм </t>
  </si>
  <si>
    <t>Пластина резиновая и резинотканевая ТМКЩ  толщ. 2 мм</t>
  </si>
  <si>
    <t xml:space="preserve">Профиль оконный и дверной по заказу </t>
  </si>
  <si>
    <t xml:space="preserve">Профиль уплотнительный МБС </t>
  </si>
  <si>
    <t>Трубки резиновые технические МБС ГОСТ 5496-78</t>
  </si>
  <si>
    <t>Трубки вакуумные 11х5 (по 2 м)</t>
  </si>
  <si>
    <t>Трубки вакуумные 7х3,5 (по 1,6 м)</t>
  </si>
  <si>
    <t>Трубки резиновые технические ТМКЩ ГОСТ 5479-84</t>
  </si>
  <si>
    <t xml:space="preserve">Шнур резиновый круглого и прямоугольного сечения  МБС ГОСТ 6467-79 </t>
  </si>
  <si>
    <t xml:space="preserve">Шнур резиновый круглого и прямоугольного сечения  ТМКЩ ГОСТ 6467-79 </t>
  </si>
  <si>
    <t>Чефер обрезиненый МБС 1 слой толщ. 3 мм</t>
  </si>
  <si>
    <t>Амортизатор буксовый 605 09 00 028 ТУ 38.005295-77</t>
  </si>
  <si>
    <t>Профиль уплотнительный губчатый ТМКЩ  ТУ38.105867-90</t>
  </si>
  <si>
    <t xml:space="preserve">Профиль уплотнительный губчатый МБС </t>
  </si>
  <si>
    <t>Профиль уплотнительный УМ</t>
  </si>
  <si>
    <t>Пластины резиновые для пищевой промышленности ТУ 38.105376-92</t>
  </si>
  <si>
    <t>Профиль уплотнительный для пищевой промышленности ТУ 38.105376-92</t>
  </si>
  <si>
    <t>Ковры дражные для намывки золота, ГОСТ 4997-75</t>
  </si>
  <si>
    <t xml:space="preserve">                            ИЗДЕЛИЯ  ДЛЯ  ЭЛЕКТРОСЕТЕЙ</t>
  </si>
  <si>
    <t xml:space="preserve">                            наименование изделий</t>
  </si>
  <si>
    <t>цена руб.</t>
  </si>
  <si>
    <t>Ковры диэлектрические ГОСТ 4997-75     500х500 мм</t>
  </si>
  <si>
    <t>Ковры диэлектрические ГОСТ 4997-75     700х1000 мм</t>
  </si>
  <si>
    <t>Пластина трансформаторная УМ ГОСТ 12855-77</t>
  </si>
  <si>
    <t>Прокладка-манжета над изолятором</t>
  </si>
  <si>
    <t>№ 1 "0" (24х11х14)</t>
  </si>
  <si>
    <t>№ 2 - Тм 25  ТМ 630 (30Х11Х20)</t>
  </si>
  <si>
    <t>№ 3 НН для ТМ 250 (32Х16Х12)</t>
  </si>
  <si>
    <t>№ 4 нн ДЛЯ тм 630 (46х26х20)</t>
  </si>
  <si>
    <t>№ 5 НН для ТМ 400 (33х20х13)</t>
  </si>
  <si>
    <t>№ 11 НН для ТМ 1000 (50х30х24)</t>
  </si>
  <si>
    <t>№ 13 НН для ТМ 100 (24х11х9)</t>
  </si>
  <si>
    <t>№ 14 Прокладка (45х30х12)</t>
  </si>
  <si>
    <t>№ 15 Изолятор (35х41х21)</t>
  </si>
  <si>
    <t xml:space="preserve">Прокладка под изолятор </t>
  </si>
  <si>
    <t>№ 7 НН для ТМ 630 (100х55х5)</t>
  </si>
  <si>
    <t>№ 8 НН для ТМ 1000 (100х75х5)</t>
  </si>
  <si>
    <t>№ 9 "0" (50х26х5)</t>
  </si>
  <si>
    <t>№ 10 НН для ТМ 250-400 (70х44х5)</t>
  </si>
  <si>
    <t>№ 6 Кольцо под расширительный бак (45х23,8х11)</t>
  </si>
  <si>
    <t>№ 12 Прокладки к масляным выключателям ВМП-10 (26,5х12х15)</t>
  </si>
  <si>
    <t>Кольцо 129-116-5</t>
  </si>
  <si>
    <t>Кольцо 32-17-6</t>
  </si>
  <si>
    <t>Кольцо 132-125-6</t>
  </si>
  <si>
    <t>Кольцо 138-123-8</t>
  </si>
  <si>
    <t>Кольцо 142-126-8</t>
  </si>
  <si>
    <t>Кольцо 18-10-9</t>
  </si>
  <si>
    <t>Кольцо 15-27-15</t>
  </si>
  <si>
    <t>Кольцо 130-118-5</t>
  </si>
  <si>
    <t>Кольцо 138-123-5</t>
  </si>
  <si>
    <t>Кольцо 138-128-5</t>
  </si>
  <si>
    <t>Кольцо 142-126-5</t>
  </si>
  <si>
    <t>Кольцо 129-116-8</t>
  </si>
  <si>
    <t>Кольцо 141-127-6</t>
  </si>
  <si>
    <t>Кольцо 186-138-6</t>
  </si>
  <si>
    <t>Губчатый уплотнительный профиль для электрошкафов ТУ 38 105376-92</t>
  </si>
  <si>
    <t>кг</t>
  </si>
  <si>
    <t>кв.м</t>
  </si>
  <si>
    <t xml:space="preserve">                                          Наименование</t>
  </si>
  <si>
    <t xml:space="preserve">Мастика полимерно-битумная (Назначение: Антикоррозионная обработка металла, </t>
  </si>
  <si>
    <t>ремонт и покрытие кровли, гидроизоляция фундамента)</t>
  </si>
  <si>
    <t xml:space="preserve">                            Резиновые смеси, мастики высыхающие и невысыхающие</t>
  </si>
  <si>
    <t>В-14 НТА</t>
  </si>
  <si>
    <t>В-14-1 НТА</t>
  </si>
  <si>
    <t>В-14 Д НТА</t>
  </si>
  <si>
    <t>ИРП 1346 НТА</t>
  </si>
  <si>
    <t>51-1668</t>
  </si>
  <si>
    <t>2959 НТА</t>
  </si>
  <si>
    <t>3311 НТА</t>
  </si>
  <si>
    <t>3825 НТА</t>
  </si>
  <si>
    <t>3826 НТА</t>
  </si>
  <si>
    <t>4004 НТА</t>
  </si>
  <si>
    <t>922 НТА</t>
  </si>
  <si>
    <t>9831 НТА</t>
  </si>
  <si>
    <t xml:space="preserve">твердость </t>
  </si>
  <si>
    <t>по Шору</t>
  </si>
  <si>
    <t>72-79</t>
  </si>
  <si>
    <t>78-85</t>
  </si>
  <si>
    <t>60-70</t>
  </si>
  <si>
    <t>35-65</t>
  </si>
  <si>
    <t>74-79</t>
  </si>
  <si>
    <t>46-61</t>
  </si>
  <si>
    <t>30-45</t>
  </si>
  <si>
    <t>80-92</t>
  </si>
  <si>
    <t>62-74</t>
  </si>
  <si>
    <t>72-84</t>
  </si>
  <si>
    <t>50-65</t>
  </si>
  <si>
    <t>60-72</t>
  </si>
  <si>
    <t xml:space="preserve">      Смеси резиновые для деталей авиационной техники ТУ 38 005 1166-87</t>
  </si>
  <si>
    <t xml:space="preserve">      Смеси резиновые не вулканизационные товарные ТУ 38 005 238-82</t>
  </si>
  <si>
    <t>СУ-150</t>
  </si>
  <si>
    <t xml:space="preserve">      Смеси резиновые не вулканизационные товарные ТУ 38 105 1082-86</t>
  </si>
  <si>
    <t>ИРП-1068-1</t>
  </si>
  <si>
    <t>75-90</t>
  </si>
  <si>
    <t>6А-1</t>
  </si>
  <si>
    <t>40-60</t>
  </si>
  <si>
    <t>65-75</t>
  </si>
  <si>
    <t>45-55</t>
  </si>
  <si>
    <t>Каландрирование 1 кг с/р</t>
  </si>
  <si>
    <t>Цена за</t>
  </si>
  <si>
    <t>1 л, руб.</t>
  </si>
  <si>
    <t>ИРП 1347 НТА</t>
  </si>
  <si>
    <t>ИРП 1078 НТА</t>
  </si>
  <si>
    <t>75-86</t>
  </si>
  <si>
    <t>63-74</t>
  </si>
  <si>
    <t>0-95-4305</t>
  </si>
  <si>
    <t>60-66</t>
  </si>
  <si>
    <t>52-1330 Д</t>
  </si>
  <si>
    <t>40-50</t>
  </si>
  <si>
    <t>Л-2</t>
  </si>
  <si>
    <t>55-65</t>
  </si>
  <si>
    <t>Л-3</t>
  </si>
  <si>
    <t>Л-27</t>
  </si>
  <si>
    <t>БС-16</t>
  </si>
  <si>
    <t>59-63</t>
  </si>
  <si>
    <t>М-4</t>
  </si>
  <si>
    <t>60-65</t>
  </si>
  <si>
    <t>П-34</t>
  </si>
  <si>
    <t>48-55</t>
  </si>
  <si>
    <t>60-80</t>
  </si>
  <si>
    <t>25х65х1</t>
  </si>
  <si>
    <t>160х180х8</t>
  </si>
  <si>
    <t>92,5х102,5х4</t>
  </si>
  <si>
    <t>125х138х5</t>
  </si>
  <si>
    <t>88х93х6</t>
  </si>
  <si>
    <t>128х138х6</t>
  </si>
  <si>
    <t>127х141х6</t>
  </si>
  <si>
    <t>141х156х6</t>
  </si>
  <si>
    <t>35х45х4</t>
  </si>
  <si>
    <t>83х88х6</t>
  </si>
  <si>
    <t>88х110х5</t>
  </si>
  <si>
    <t>Норийные ленты по ГОСТ 23831-79</t>
  </si>
  <si>
    <t>А-125-3 ТК-200-2-2,0-2,0-Б</t>
  </si>
  <si>
    <t>А-140-3 ТК-200-2-2,0-2,0-Б</t>
  </si>
  <si>
    <t>А-150-3 ТК-200-2-2,0-2,0-Б</t>
  </si>
  <si>
    <t>А-170-3 ТК-200-2-2,0-2,0-Б</t>
  </si>
  <si>
    <t>А-175-3 ТК-200-2-2,0-2,0-Б</t>
  </si>
  <si>
    <t>А-200-3 ТК-200-2-2,0-2,0-Б</t>
  </si>
  <si>
    <t>А-250-3 ТК-200-2-2,0-2,0-Б</t>
  </si>
  <si>
    <t>А-300-3 ТК-200-2-2,0-2,0-Б</t>
  </si>
  <si>
    <t>1 п.м.</t>
  </si>
  <si>
    <t xml:space="preserve">Цена за </t>
  </si>
  <si>
    <t>ленты,мм</t>
  </si>
  <si>
    <t>ширина</t>
  </si>
  <si>
    <t>плитка тротуарная резиновая 300х300х20</t>
  </si>
  <si>
    <t>Шар d=44</t>
  </si>
  <si>
    <t>Кольцо уплотнительное для труб AMG40/14 DN300</t>
  </si>
  <si>
    <t>Кольцо уплотнительное для труб AMG40/14 DN400</t>
  </si>
  <si>
    <t>Кольцо уплотнительное для труб AMG40/16 DN500</t>
  </si>
  <si>
    <t>Кольцо уплотнительное для труб AMG40/16 DN600</t>
  </si>
  <si>
    <t>Кольцо уплотнительное для труб AMG40/18 DN800</t>
  </si>
  <si>
    <t>Кольцо уплотнительное для труб AMG40/20 DN1000</t>
  </si>
  <si>
    <t>Кольцо уплотнительное для труб AMG40/20 DN1200</t>
  </si>
  <si>
    <t>Манжета уплотнительная для труб БХ 100</t>
  </si>
  <si>
    <t>Манжета уплотнительная для труб БХ-150</t>
  </si>
  <si>
    <t>Кольцо уплотнительное КО.32.8.20.05001 (вн. D=104 мм)</t>
  </si>
  <si>
    <t>Кольцо уплотнительное КО.32.8.20.05002 (вн. D=85 мм)</t>
  </si>
  <si>
    <t>98х125х10</t>
  </si>
  <si>
    <t>Уплотнение на термос (125х140)</t>
  </si>
  <si>
    <t>уплотнитель крышки бытового автоклава (183х225), ТУ38.105376-92</t>
  </si>
  <si>
    <t>Втулка резиновая предохранительная 20-8               ГОСТ 19421-74</t>
  </si>
  <si>
    <t>Упл  лев и прав ( флажок 28х23)</t>
  </si>
  <si>
    <t>била на агрегат свиных голов к Я2-ФУГ (пластина 260*65*11)</t>
  </si>
  <si>
    <t>м</t>
  </si>
  <si>
    <t>Зажим для кабеля резиновый PS 216/15</t>
  </si>
  <si>
    <t>Зажим для кабеля резиновый PS 435</t>
  </si>
  <si>
    <t>Зажим для кабеля резиновый PS 470</t>
  </si>
  <si>
    <t>Зажим для кабеля резиновый PS 450</t>
  </si>
  <si>
    <t>167х185х11 (П-150)</t>
  </si>
  <si>
    <t>68х74х3,6</t>
  </si>
  <si>
    <t>10х15х2,5</t>
  </si>
  <si>
    <t>Плоский ремень 400х2560 мм (3М-60)</t>
  </si>
  <si>
    <t>Плоский ремень 400х2650 мм (3М-30)</t>
  </si>
  <si>
    <t>Наименование</t>
  </si>
  <si>
    <t>Клей резиновый КО-48</t>
  </si>
  <si>
    <t>Цена, руб.</t>
  </si>
  <si>
    <t xml:space="preserve">                         Клей резиновый  ГОСТ 2199-78</t>
  </si>
  <si>
    <t>Буксовая резина (амортизатор буксовый) 64х12(15)х810 мм</t>
  </si>
  <si>
    <t>Втулка-элемент упругой муфты (кольцо упругое МУВП К4)45х24х10</t>
  </si>
  <si>
    <t xml:space="preserve">                                                                                                                                         01 января 2010 года</t>
  </si>
  <si>
    <t xml:space="preserve">                                                                    ПРАЙС-ЛИСТ от 01.01.2010г.</t>
  </si>
  <si>
    <t>Плоский ремень 300х2560 мм (3М-30)</t>
  </si>
  <si>
    <t>плита-отбойник для стен (защита) 400х500х20 без светоотражающ.пленки</t>
  </si>
  <si>
    <t>плита-отбойник для стен (защита) 400х500х20 с светоотражающ.пленкой</t>
  </si>
  <si>
    <t>112х130х11 (П-100)</t>
  </si>
  <si>
    <t>137х155х11 (П-125)</t>
  </si>
  <si>
    <t>217х235х11 (П-200)</t>
  </si>
  <si>
    <t>267х285х11 (П-250)</t>
  </si>
  <si>
    <t>173.00</t>
  </si>
  <si>
    <t>Профиль уплотнительнвй вакуумный белый</t>
  </si>
  <si>
    <t>Коврики бытовые 1000х700</t>
  </si>
  <si>
    <t xml:space="preserve">                                                                       т/ф (3812)57-31-84,57-15-59</t>
  </si>
  <si>
    <t xml:space="preserve">                  прямого кроя 1000х690х8 (ячея 8х8х3мм)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</si>
</sst>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Arial"/>
      <family val="2"/>
    </font>
    <font>
      <sz val="9"/>
      <name val="Times New Roman Cyr"/>
      <family val="1"/>
    </font>
    <font>
      <b/>
      <sz val="9"/>
      <name val="Times New Roman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2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1"/>
  <sheetViews>
    <sheetView zoomScalePageLayoutView="0" workbookViewId="0" topLeftCell="A305">
      <selection activeCell="B316" sqref="B316"/>
    </sheetView>
  </sheetViews>
  <sheetFormatPr defaultColWidth="9.140625" defaultRowHeight="12.75"/>
  <cols>
    <col min="1" max="1" width="6.57421875" style="0" customWidth="1"/>
    <col min="2" max="2" width="76.00390625" style="0" customWidth="1"/>
    <col min="4" max="8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3" spans="1:4" ht="12.75">
      <c r="A13" s="2" t="s">
        <v>10</v>
      </c>
      <c r="B13" s="2" t="s">
        <v>11</v>
      </c>
      <c r="C13" s="2" t="s">
        <v>12</v>
      </c>
      <c r="D13" s="2" t="s">
        <v>13</v>
      </c>
    </row>
    <row r="14" spans="1:4" ht="12.75">
      <c r="A14" s="1">
        <v>1</v>
      </c>
      <c r="B14" s="2" t="s">
        <v>14</v>
      </c>
      <c r="C14" s="2" t="s">
        <v>15</v>
      </c>
      <c r="D14" s="3">
        <f>ROUND(432,2)</f>
        <v>432</v>
      </c>
    </row>
    <row r="15" spans="1:4" ht="12.75">
      <c r="A15" s="1">
        <v>2</v>
      </c>
      <c r="B15" s="2" t="s">
        <v>16</v>
      </c>
      <c r="C15" s="2" t="s">
        <v>15</v>
      </c>
      <c r="D15" s="3">
        <f>ROUND(154,2)</f>
        <v>154</v>
      </c>
    </row>
    <row r="16" spans="1:4" ht="12.75" customHeight="1">
      <c r="A16" s="1">
        <v>3</v>
      </c>
      <c r="B16" s="2" t="s">
        <v>17</v>
      </c>
      <c r="C16" s="2" t="s">
        <v>18</v>
      </c>
      <c r="D16" s="3">
        <v>390</v>
      </c>
    </row>
    <row r="17" spans="1:4" ht="12.75">
      <c r="A17" s="1">
        <v>4</v>
      </c>
      <c r="B17" s="2" t="s">
        <v>19</v>
      </c>
      <c r="C17" s="2" t="s">
        <v>20</v>
      </c>
      <c r="D17" s="3">
        <v>32</v>
      </c>
    </row>
    <row r="18" spans="1:4" ht="12.75">
      <c r="A18" s="1">
        <v>5</v>
      </c>
      <c r="B18" s="6" t="s">
        <v>535</v>
      </c>
      <c r="C18" s="2" t="s">
        <v>20</v>
      </c>
      <c r="D18" s="3">
        <v>48</v>
      </c>
    </row>
    <row r="19" spans="1:4" ht="12.75">
      <c r="A19" s="1">
        <v>6</v>
      </c>
      <c r="B19" s="2" t="s">
        <v>21</v>
      </c>
      <c r="C19" s="2" t="s">
        <v>20</v>
      </c>
      <c r="D19" s="3">
        <v>24</v>
      </c>
    </row>
    <row r="20" spans="1:4" ht="12.75">
      <c r="A20" s="1">
        <v>7</v>
      </c>
      <c r="B20" s="2" t="s">
        <v>22</v>
      </c>
      <c r="C20" s="2" t="s">
        <v>20</v>
      </c>
      <c r="D20" s="3">
        <v>40</v>
      </c>
    </row>
    <row r="21" spans="1:4" ht="12.75">
      <c r="A21" s="1">
        <v>8</v>
      </c>
      <c r="B21" s="2" t="s">
        <v>23</v>
      </c>
      <c r="C21" s="2" t="s">
        <v>20</v>
      </c>
      <c r="D21" s="3">
        <v>150</v>
      </c>
    </row>
    <row r="22" spans="1:4" ht="12.75">
      <c r="A22" s="1">
        <v>9</v>
      </c>
      <c r="B22" s="2" t="s">
        <v>520</v>
      </c>
      <c r="C22" s="2" t="s">
        <v>20</v>
      </c>
      <c r="D22" s="3">
        <v>131</v>
      </c>
    </row>
    <row r="23" spans="1:4" ht="12.75">
      <c r="A23" s="1">
        <v>10</v>
      </c>
      <c r="B23" s="2" t="s">
        <v>24</v>
      </c>
      <c r="C23" s="2" t="s">
        <v>25</v>
      </c>
      <c r="D23" s="3">
        <v>238</v>
      </c>
    </row>
    <row r="24" ht="18">
      <c r="B24" s="5" t="s">
        <v>26</v>
      </c>
    </row>
    <row r="25" spans="1:4" ht="12.75">
      <c r="A25" s="2" t="s">
        <v>10</v>
      </c>
      <c r="B25" s="2" t="s">
        <v>11</v>
      </c>
      <c r="C25" s="2" t="s">
        <v>12</v>
      </c>
      <c r="D25" s="2" t="s">
        <v>13</v>
      </c>
    </row>
    <row r="26" spans="1:4" ht="12.75">
      <c r="A26" s="1">
        <v>1</v>
      </c>
      <c r="B26" s="6" t="s">
        <v>27</v>
      </c>
      <c r="C26" s="6" t="s">
        <v>20</v>
      </c>
      <c r="D26" s="7">
        <v>936.4</v>
      </c>
    </row>
    <row r="27" spans="1:4" ht="12.75">
      <c r="A27" s="1">
        <v>2</v>
      </c>
      <c r="B27" s="6" t="s">
        <v>71</v>
      </c>
      <c r="C27" s="6" t="s">
        <v>20</v>
      </c>
      <c r="D27" s="7">
        <v>112.4</v>
      </c>
    </row>
    <row r="28" spans="1:4" ht="12.75">
      <c r="A28" s="1">
        <v>3</v>
      </c>
      <c r="B28" s="6" t="s">
        <v>72</v>
      </c>
      <c r="C28" s="6" t="s">
        <v>20</v>
      </c>
      <c r="D28" s="7">
        <v>96.5</v>
      </c>
    </row>
    <row r="29" spans="1:4" ht="12.75">
      <c r="A29" s="1">
        <v>4</v>
      </c>
      <c r="B29" s="8" t="s">
        <v>64</v>
      </c>
      <c r="C29" s="8" t="s">
        <v>20</v>
      </c>
      <c r="D29" s="7">
        <v>111</v>
      </c>
    </row>
    <row r="30" spans="1:4" ht="12.75">
      <c r="A30" s="1">
        <v>5</v>
      </c>
      <c r="B30" s="8" t="s">
        <v>63</v>
      </c>
      <c r="C30" s="8" t="s">
        <v>20</v>
      </c>
      <c r="D30" s="3">
        <v>120</v>
      </c>
    </row>
    <row r="31" spans="1:4" ht="12.75">
      <c r="A31" s="1">
        <v>6</v>
      </c>
      <c r="B31" s="8" t="s">
        <v>65</v>
      </c>
      <c r="C31" s="8" t="s">
        <v>20</v>
      </c>
      <c r="D31" s="3">
        <v>251.6</v>
      </c>
    </row>
    <row r="32" spans="1:4" ht="12.75">
      <c r="A32" s="1">
        <v>7</v>
      </c>
      <c r="B32" s="8" t="s">
        <v>66</v>
      </c>
      <c r="C32" s="8" t="s">
        <v>20</v>
      </c>
      <c r="D32" s="3">
        <v>121</v>
      </c>
    </row>
    <row r="33" spans="1:4" ht="12.75">
      <c r="A33" s="1">
        <v>8</v>
      </c>
      <c r="B33" s="8" t="s">
        <v>67</v>
      </c>
      <c r="C33" s="8" t="s">
        <v>20</v>
      </c>
      <c r="D33" s="3">
        <v>120</v>
      </c>
    </row>
    <row r="34" spans="1:4" ht="12.75">
      <c r="A34" s="1">
        <v>9</v>
      </c>
      <c r="B34" s="9" t="s">
        <v>538</v>
      </c>
      <c r="C34" s="8" t="s">
        <v>20</v>
      </c>
      <c r="D34" s="3">
        <v>116.8</v>
      </c>
    </row>
    <row r="35" spans="1:4" ht="12.75">
      <c r="A35" s="1">
        <v>10</v>
      </c>
      <c r="B35" s="9" t="s">
        <v>69</v>
      </c>
      <c r="C35" s="8" t="s">
        <v>20</v>
      </c>
      <c r="D35" s="3">
        <v>123.2</v>
      </c>
    </row>
    <row r="36" spans="1:4" ht="12.75">
      <c r="A36" s="1">
        <v>11</v>
      </c>
      <c r="B36" s="6" t="s">
        <v>77</v>
      </c>
      <c r="C36" s="6" t="s">
        <v>20</v>
      </c>
      <c r="D36" s="3">
        <v>10.5</v>
      </c>
    </row>
    <row r="37" spans="1:4" ht="12.75">
      <c r="A37" s="1">
        <v>12</v>
      </c>
      <c r="B37" s="8" t="s">
        <v>30</v>
      </c>
      <c r="C37" s="8" t="s">
        <v>20</v>
      </c>
      <c r="D37" s="7">
        <v>1600</v>
      </c>
    </row>
    <row r="38" spans="1:4" ht="12.75">
      <c r="A38" s="1">
        <v>13</v>
      </c>
      <c r="B38" s="8" t="s">
        <v>28</v>
      </c>
      <c r="C38" s="8" t="s">
        <v>20</v>
      </c>
      <c r="D38" s="7">
        <v>20.2</v>
      </c>
    </row>
    <row r="39" spans="1:4" ht="12.75">
      <c r="A39" s="1">
        <v>14</v>
      </c>
      <c r="B39" s="8" t="s">
        <v>31</v>
      </c>
      <c r="C39" s="8" t="s">
        <v>20</v>
      </c>
      <c r="D39" s="7">
        <v>15.8</v>
      </c>
    </row>
    <row r="40" spans="1:4" ht="12.75">
      <c r="A40" s="1">
        <v>15</v>
      </c>
      <c r="B40" s="8" t="s">
        <v>32</v>
      </c>
      <c r="C40" s="8" t="s">
        <v>20</v>
      </c>
      <c r="D40" s="7">
        <v>33.7</v>
      </c>
    </row>
    <row r="41" spans="1:4" ht="12.75">
      <c r="A41" s="1">
        <v>16</v>
      </c>
      <c r="B41" s="8" t="s">
        <v>33</v>
      </c>
      <c r="C41" s="8" t="s">
        <v>20</v>
      </c>
      <c r="D41" s="7">
        <v>24.8</v>
      </c>
    </row>
    <row r="42" spans="1:4" ht="12.75">
      <c r="A42" s="1">
        <v>17</v>
      </c>
      <c r="B42" s="8" t="s">
        <v>34</v>
      </c>
      <c r="C42" s="8" t="s">
        <v>20</v>
      </c>
      <c r="D42" s="7">
        <v>22.3</v>
      </c>
    </row>
    <row r="43" spans="1:4" ht="12.75">
      <c r="A43" s="1">
        <v>18</v>
      </c>
      <c r="B43" s="8" t="s">
        <v>35</v>
      </c>
      <c r="C43" s="8" t="s">
        <v>20</v>
      </c>
      <c r="D43" s="7">
        <v>9.8</v>
      </c>
    </row>
    <row r="44" spans="1:4" ht="12.75">
      <c r="A44" s="1">
        <v>19</v>
      </c>
      <c r="B44" s="8" t="s">
        <v>36</v>
      </c>
      <c r="C44" s="8" t="s">
        <v>20</v>
      </c>
      <c r="D44" s="7">
        <v>51.1</v>
      </c>
    </row>
    <row r="45" spans="1:4" ht="12.75">
      <c r="A45" s="10">
        <v>20</v>
      </c>
      <c r="B45" s="8" t="s">
        <v>37</v>
      </c>
      <c r="C45" s="8" t="s">
        <v>20</v>
      </c>
      <c r="D45" s="7">
        <v>12.1</v>
      </c>
    </row>
    <row r="46" spans="1:4" ht="12.75">
      <c r="A46" s="10">
        <v>21</v>
      </c>
      <c r="B46" s="8" t="s">
        <v>38</v>
      </c>
      <c r="C46" s="8" t="s">
        <v>20</v>
      </c>
      <c r="D46" s="7">
        <v>10.2</v>
      </c>
    </row>
    <row r="47" spans="1:4" ht="12.75">
      <c r="A47" s="10">
        <v>22</v>
      </c>
      <c r="B47" s="8" t="s">
        <v>38</v>
      </c>
      <c r="C47" s="8" t="s">
        <v>20</v>
      </c>
      <c r="D47" s="7">
        <v>9.1</v>
      </c>
    </row>
    <row r="48" spans="1:4" ht="12.75">
      <c r="A48" s="10">
        <v>23</v>
      </c>
      <c r="B48" s="8" t="s">
        <v>39</v>
      </c>
      <c r="C48" s="8" t="s">
        <v>20</v>
      </c>
      <c r="D48" s="7">
        <v>10.8</v>
      </c>
    </row>
    <row r="49" spans="1:4" ht="12.75">
      <c r="A49" s="10">
        <v>24</v>
      </c>
      <c r="B49" s="8" t="s">
        <v>40</v>
      </c>
      <c r="C49" s="8" t="s">
        <v>20</v>
      </c>
      <c r="D49" s="7">
        <v>22.3</v>
      </c>
    </row>
    <row r="50" spans="1:4" ht="12.75">
      <c r="A50" s="10">
        <v>25</v>
      </c>
      <c r="B50" s="8" t="s">
        <v>41</v>
      </c>
      <c r="C50" s="8" t="s">
        <v>20</v>
      </c>
      <c r="D50" s="7">
        <v>19.7</v>
      </c>
    </row>
    <row r="51" spans="1:4" ht="12.75">
      <c r="A51" s="10">
        <v>26</v>
      </c>
      <c r="B51" s="8" t="s">
        <v>42</v>
      </c>
      <c r="C51" s="8" t="s">
        <v>20</v>
      </c>
      <c r="D51" s="7">
        <v>34.9</v>
      </c>
    </row>
    <row r="52" spans="1:4" ht="12.75">
      <c r="A52" s="10">
        <v>27</v>
      </c>
      <c r="B52" s="8" t="s">
        <v>43</v>
      </c>
      <c r="C52" s="8" t="s">
        <v>20</v>
      </c>
      <c r="D52" s="7">
        <v>46.8</v>
      </c>
    </row>
    <row r="53" spans="1:4" ht="12.75">
      <c r="A53" s="10">
        <v>28</v>
      </c>
      <c r="B53" s="8" t="s">
        <v>44</v>
      </c>
      <c r="C53" s="8" t="s">
        <v>20</v>
      </c>
      <c r="D53" s="7">
        <v>34.6</v>
      </c>
    </row>
    <row r="54" spans="1:4" ht="12.75">
      <c r="A54" s="10">
        <v>29</v>
      </c>
      <c r="B54" s="8" t="s">
        <v>45</v>
      </c>
      <c r="C54" s="8" t="s">
        <v>20</v>
      </c>
      <c r="D54" s="7">
        <v>17.4</v>
      </c>
    </row>
    <row r="55" spans="1:4" ht="12.75">
      <c r="A55" s="10">
        <v>30</v>
      </c>
      <c r="B55" s="8" t="s">
        <v>46</v>
      </c>
      <c r="C55" s="8" t="s">
        <v>20</v>
      </c>
      <c r="D55" s="7">
        <v>24.6</v>
      </c>
    </row>
    <row r="56" spans="1:4" ht="12.75">
      <c r="A56" s="10">
        <v>31</v>
      </c>
      <c r="B56" s="8" t="s">
        <v>47</v>
      </c>
      <c r="C56" s="8" t="s">
        <v>20</v>
      </c>
      <c r="D56" s="7">
        <v>33.1</v>
      </c>
    </row>
    <row r="57" spans="1:4" ht="12.75">
      <c r="A57" s="10">
        <v>32</v>
      </c>
      <c r="B57" s="8" t="s">
        <v>48</v>
      </c>
      <c r="C57" s="8" t="s">
        <v>20</v>
      </c>
      <c r="D57" s="7">
        <v>15.4</v>
      </c>
    </row>
    <row r="58" spans="1:4" ht="12.75">
      <c r="A58" s="10">
        <v>33</v>
      </c>
      <c r="B58" s="8" t="s">
        <v>49</v>
      </c>
      <c r="C58" s="8" t="s">
        <v>20</v>
      </c>
      <c r="D58" s="7">
        <v>15.1</v>
      </c>
    </row>
    <row r="59" spans="1:4" ht="12.75">
      <c r="A59" s="10">
        <v>34</v>
      </c>
      <c r="B59" s="8" t="s">
        <v>50</v>
      </c>
      <c r="C59" s="8" t="s">
        <v>20</v>
      </c>
      <c r="D59" s="7">
        <v>67.7</v>
      </c>
    </row>
    <row r="60" spans="1:4" ht="12.75">
      <c r="A60" s="10">
        <v>35</v>
      </c>
      <c r="B60" s="6" t="s">
        <v>78</v>
      </c>
      <c r="C60" s="6" t="s">
        <v>20</v>
      </c>
      <c r="D60" s="3">
        <v>31</v>
      </c>
    </row>
    <row r="61" spans="1:4" ht="12.75">
      <c r="A61" s="10">
        <v>36</v>
      </c>
      <c r="B61" s="8" t="s">
        <v>58</v>
      </c>
      <c r="C61" s="8" t="s">
        <v>20</v>
      </c>
      <c r="D61" s="7">
        <v>50.1</v>
      </c>
    </row>
    <row r="62" spans="1:4" ht="12.75">
      <c r="A62" s="10">
        <v>37</v>
      </c>
      <c r="B62" s="6" t="s">
        <v>76</v>
      </c>
      <c r="C62" s="6" t="s">
        <v>20</v>
      </c>
      <c r="D62" s="3">
        <v>96.4</v>
      </c>
    </row>
    <row r="63" spans="1:4" ht="12.75">
      <c r="A63" s="10">
        <v>38</v>
      </c>
      <c r="B63" s="8" t="s">
        <v>59</v>
      </c>
      <c r="C63" s="8" t="s">
        <v>20</v>
      </c>
      <c r="D63" s="7">
        <v>61.4</v>
      </c>
    </row>
    <row r="64" spans="1:4" ht="12.75">
      <c r="A64" s="10">
        <v>39</v>
      </c>
      <c r="B64" s="8" t="s">
        <v>60</v>
      </c>
      <c r="C64" s="8" t="s">
        <v>20</v>
      </c>
      <c r="D64" s="7">
        <v>283</v>
      </c>
    </row>
    <row r="65" spans="1:4" ht="12.75">
      <c r="A65" s="10">
        <v>40</v>
      </c>
      <c r="B65" s="8" t="s">
        <v>61</v>
      </c>
      <c r="C65" s="8" t="s">
        <v>20</v>
      </c>
      <c r="D65" s="7">
        <v>63.8</v>
      </c>
    </row>
    <row r="66" spans="1:4" ht="12.75">
      <c r="A66" s="10">
        <v>41</v>
      </c>
      <c r="B66" s="8" t="s">
        <v>62</v>
      </c>
      <c r="C66" s="8" t="s">
        <v>20</v>
      </c>
      <c r="D66" s="7">
        <v>66</v>
      </c>
    </row>
    <row r="67" spans="1:4" ht="12.75">
      <c r="A67" s="10">
        <v>42</v>
      </c>
      <c r="B67" s="8" t="s">
        <v>29</v>
      </c>
      <c r="C67" s="8" t="s">
        <v>20</v>
      </c>
      <c r="D67" s="7">
        <v>619.4</v>
      </c>
    </row>
    <row r="68" spans="1:4" ht="12.75">
      <c r="A68" s="10">
        <v>43</v>
      </c>
      <c r="B68" s="8" t="s">
        <v>51</v>
      </c>
      <c r="C68" s="8" t="s">
        <v>20</v>
      </c>
      <c r="D68" s="7">
        <v>50.4</v>
      </c>
    </row>
    <row r="69" spans="1:4" ht="12.75">
      <c r="A69" s="10">
        <v>44</v>
      </c>
      <c r="B69" s="6" t="s">
        <v>68</v>
      </c>
      <c r="C69" s="6" t="s">
        <v>20</v>
      </c>
      <c r="D69" s="3">
        <v>24.4</v>
      </c>
    </row>
    <row r="70" spans="1:4" ht="12.75">
      <c r="A70" s="10">
        <v>45</v>
      </c>
      <c r="B70" s="6" t="s">
        <v>70</v>
      </c>
      <c r="C70" s="6" t="s">
        <v>20</v>
      </c>
      <c r="D70" s="3">
        <v>20.1</v>
      </c>
    </row>
    <row r="71" spans="1:4" ht="12.75">
      <c r="A71" s="10">
        <v>46</v>
      </c>
      <c r="B71" s="6" t="s">
        <v>73</v>
      </c>
      <c r="C71" s="6" t="s">
        <v>20</v>
      </c>
      <c r="D71" s="3">
        <v>309.7</v>
      </c>
    </row>
    <row r="72" spans="1:4" ht="12.75">
      <c r="A72" s="10">
        <v>47</v>
      </c>
      <c r="B72" s="6" t="s">
        <v>74</v>
      </c>
      <c r="C72" s="6" t="s">
        <v>20</v>
      </c>
      <c r="D72" s="3">
        <v>677.1</v>
      </c>
    </row>
    <row r="73" spans="1:4" ht="12.75">
      <c r="A73" s="10">
        <v>48</v>
      </c>
      <c r="B73" s="6" t="s">
        <v>75</v>
      </c>
      <c r="C73" s="6" t="s">
        <v>25</v>
      </c>
      <c r="D73" s="3">
        <v>73.5</v>
      </c>
    </row>
    <row r="74" spans="1:4" ht="12.75">
      <c r="A74" s="10">
        <v>49</v>
      </c>
      <c r="B74" s="8" t="s">
        <v>52</v>
      </c>
      <c r="C74" s="8" t="s">
        <v>20</v>
      </c>
      <c r="D74" s="7">
        <v>452.3</v>
      </c>
    </row>
    <row r="75" spans="1:4" ht="12.75">
      <c r="A75" s="10">
        <v>50</v>
      </c>
      <c r="B75" s="8" t="s">
        <v>53</v>
      </c>
      <c r="C75" s="8" t="s">
        <v>20</v>
      </c>
      <c r="D75" s="7">
        <v>290.3</v>
      </c>
    </row>
    <row r="76" spans="1:4" ht="12.75">
      <c r="A76" s="10">
        <v>51</v>
      </c>
      <c r="B76" s="8" t="s">
        <v>54</v>
      </c>
      <c r="C76" s="8" t="s">
        <v>20</v>
      </c>
      <c r="D76" s="7">
        <v>102.3</v>
      </c>
    </row>
    <row r="77" spans="1:4" ht="12.75">
      <c r="A77" s="10">
        <v>52</v>
      </c>
      <c r="B77" s="8" t="s">
        <v>55</v>
      </c>
      <c r="C77" s="8" t="s">
        <v>20</v>
      </c>
      <c r="D77" s="7">
        <v>178.4</v>
      </c>
    </row>
    <row r="78" spans="1:4" ht="12.75">
      <c r="A78" s="10">
        <v>53</v>
      </c>
      <c r="B78" s="8" t="s">
        <v>56</v>
      </c>
      <c r="C78" s="8" t="s">
        <v>20</v>
      </c>
      <c r="D78" s="7">
        <v>171.8</v>
      </c>
    </row>
    <row r="79" spans="1:4" ht="12.75">
      <c r="A79" s="10">
        <v>54</v>
      </c>
      <c r="B79" s="8" t="s">
        <v>57</v>
      </c>
      <c r="C79" s="8" t="s">
        <v>20</v>
      </c>
      <c r="D79" s="7">
        <v>535.7</v>
      </c>
    </row>
    <row r="80" ht="18">
      <c r="B80" s="5" t="s">
        <v>79</v>
      </c>
    </row>
    <row r="81" spans="1:4" ht="12.75">
      <c r="A81" s="2" t="s">
        <v>10</v>
      </c>
      <c r="B81" s="2" t="s">
        <v>11</v>
      </c>
      <c r="C81" s="2" t="s">
        <v>12</v>
      </c>
      <c r="D81" s="2" t="s">
        <v>13</v>
      </c>
    </row>
    <row r="82" spans="1:4" ht="12.75">
      <c r="A82" s="11">
        <v>1</v>
      </c>
      <c r="B82" s="12" t="s">
        <v>80</v>
      </c>
      <c r="C82" s="13" t="s">
        <v>15</v>
      </c>
      <c r="D82" s="14">
        <v>6</v>
      </c>
    </row>
    <row r="83" spans="1:4" ht="12.75">
      <c r="A83" s="11">
        <v>2</v>
      </c>
      <c r="B83" s="12" t="s">
        <v>81</v>
      </c>
      <c r="C83" s="13" t="s">
        <v>15</v>
      </c>
      <c r="D83" s="14">
        <f aca="true" t="shared" si="0" ref="D83:D95">ROUND(3.9*1.09*1.22*1.18,0)</f>
        <v>6</v>
      </c>
    </row>
    <row r="84" spans="1:4" ht="12.75">
      <c r="A84" s="11">
        <v>3</v>
      </c>
      <c r="B84" s="12" t="s">
        <v>82</v>
      </c>
      <c r="C84" s="13" t="s">
        <v>15</v>
      </c>
      <c r="D84" s="14">
        <v>6</v>
      </c>
    </row>
    <row r="85" spans="1:4" ht="12.75">
      <c r="A85" s="11">
        <v>4</v>
      </c>
      <c r="B85" s="12" t="s">
        <v>83</v>
      </c>
      <c r="C85" s="13" t="s">
        <v>15</v>
      </c>
      <c r="D85" s="14">
        <f t="shared" si="0"/>
        <v>6</v>
      </c>
    </row>
    <row r="86" spans="1:4" ht="12.75">
      <c r="A86" s="11">
        <v>5</v>
      </c>
      <c r="B86" s="12" t="s">
        <v>85</v>
      </c>
      <c r="C86" s="13" t="s">
        <v>15</v>
      </c>
      <c r="D86" s="14">
        <v>6</v>
      </c>
    </row>
    <row r="87" spans="1:4" ht="12.75">
      <c r="A87" s="11">
        <v>6</v>
      </c>
      <c r="B87" s="12" t="s">
        <v>84</v>
      </c>
      <c r="C87" s="13" t="s">
        <v>15</v>
      </c>
      <c r="D87" s="14">
        <f t="shared" si="0"/>
        <v>6</v>
      </c>
    </row>
    <row r="88" spans="1:4" ht="12.75">
      <c r="A88" s="11">
        <v>7</v>
      </c>
      <c r="B88" s="12" t="s">
        <v>86</v>
      </c>
      <c r="C88" s="13" t="s">
        <v>15</v>
      </c>
      <c r="D88" s="14">
        <f t="shared" si="0"/>
        <v>6</v>
      </c>
    </row>
    <row r="89" spans="1:4" ht="12.75">
      <c r="A89" s="11">
        <v>8</v>
      </c>
      <c r="B89" s="12" t="s">
        <v>87</v>
      </c>
      <c r="C89" s="13" t="s">
        <v>15</v>
      </c>
      <c r="D89" s="14">
        <v>6</v>
      </c>
    </row>
    <row r="90" spans="1:4" ht="12.75">
      <c r="A90" s="11">
        <v>9</v>
      </c>
      <c r="B90" s="12" t="s">
        <v>88</v>
      </c>
      <c r="C90" s="13" t="s">
        <v>15</v>
      </c>
      <c r="D90" s="14">
        <f t="shared" si="0"/>
        <v>6</v>
      </c>
    </row>
    <row r="91" spans="1:4" ht="12.75">
      <c r="A91" s="11">
        <v>10</v>
      </c>
      <c r="B91" s="12" t="s">
        <v>89</v>
      </c>
      <c r="C91" s="13" t="s">
        <v>15</v>
      </c>
      <c r="D91" s="14">
        <v>6</v>
      </c>
    </row>
    <row r="92" spans="1:4" ht="12.75">
      <c r="A92" s="11">
        <v>11</v>
      </c>
      <c r="B92" s="12" t="s">
        <v>90</v>
      </c>
      <c r="C92" s="13" t="s">
        <v>15</v>
      </c>
      <c r="D92" s="14">
        <f t="shared" si="0"/>
        <v>6</v>
      </c>
    </row>
    <row r="93" spans="1:4" ht="12.75">
      <c r="A93" s="11">
        <v>12</v>
      </c>
      <c r="B93" s="12" t="s">
        <v>91</v>
      </c>
      <c r="C93" s="13" t="s">
        <v>15</v>
      </c>
      <c r="D93" s="14">
        <v>6</v>
      </c>
    </row>
    <row r="94" spans="1:4" ht="12.75">
      <c r="A94" s="11">
        <v>13</v>
      </c>
      <c r="B94" s="12" t="s">
        <v>92</v>
      </c>
      <c r="C94" s="13" t="s">
        <v>15</v>
      </c>
      <c r="D94" s="14">
        <v>6</v>
      </c>
    </row>
    <row r="95" spans="1:4" ht="12.75">
      <c r="A95" s="11">
        <v>14</v>
      </c>
      <c r="B95" s="12" t="s">
        <v>93</v>
      </c>
      <c r="C95" s="13" t="s">
        <v>15</v>
      </c>
      <c r="D95" s="14">
        <f t="shared" si="0"/>
        <v>6</v>
      </c>
    </row>
    <row r="96" spans="1:4" ht="12.75">
      <c r="A96" s="11">
        <v>15</v>
      </c>
      <c r="B96" s="12" t="s">
        <v>94</v>
      </c>
      <c r="C96" s="13" t="s">
        <v>15</v>
      </c>
      <c r="D96" s="14">
        <v>7</v>
      </c>
    </row>
    <row r="97" spans="1:4" ht="12.75">
      <c r="A97" s="11">
        <v>16</v>
      </c>
      <c r="B97" s="12" t="s">
        <v>95</v>
      </c>
      <c r="C97" s="13" t="s">
        <v>15</v>
      </c>
      <c r="D97" s="14">
        <f>ROUND(4.6*1.09*1.22*1.18,0)</f>
        <v>7</v>
      </c>
    </row>
    <row r="98" spans="1:4" ht="12.75">
      <c r="A98" s="11">
        <v>17</v>
      </c>
      <c r="B98" s="12" t="s">
        <v>96</v>
      </c>
      <c r="C98" s="13" t="s">
        <v>15</v>
      </c>
      <c r="D98" s="14">
        <f>ROUND(4.7*1.09*1.22*1.18,0)</f>
        <v>7</v>
      </c>
    </row>
    <row r="99" spans="1:4" ht="12.75">
      <c r="A99" s="11">
        <v>18</v>
      </c>
      <c r="B99" s="12" t="s">
        <v>97</v>
      </c>
      <c r="C99" s="13" t="s">
        <v>15</v>
      </c>
      <c r="D99" s="14">
        <f>ROUND(4.8*1.09*1.22*1.18,0)</f>
        <v>8</v>
      </c>
    </row>
    <row r="100" spans="1:4" ht="12.75">
      <c r="A100" s="11">
        <v>19</v>
      </c>
      <c r="B100" s="12" t="s">
        <v>98</v>
      </c>
      <c r="C100" s="13" t="s">
        <v>15</v>
      </c>
      <c r="D100" s="14">
        <v>8</v>
      </c>
    </row>
    <row r="101" spans="1:4" ht="12.75">
      <c r="A101" s="11">
        <v>20</v>
      </c>
      <c r="B101" s="12" t="s">
        <v>99</v>
      </c>
      <c r="C101" s="13" t="s">
        <v>15</v>
      </c>
      <c r="D101" s="14">
        <f>ROUND(5.8*1.09*1.22*1.18,0)</f>
        <v>9</v>
      </c>
    </row>
    <row r="102" spans="1:4" ht="12.75">
      <c r="A102" s="11">
        <v>21</v>
      </c>
      <c r="B102" s="12" t="s">
        <v>100</v>
      </c>
      <c r="C102" s="13" t="s">
        <v>15</v>
      </c>
      <c r="D102" s="14">
        <f>ROUND(5.9*1.09*1.22*1.18,0)</f>
        <v>9</v>
      </c>
    </row>
    <row r="103" spans="1:4" ht="12.75">
      <c r="A103" s="11">
        <v>22</v>
      </c>
      <c r="B103" s="12" t="s">
        <v>101</v>
      </c>
      <c r="C103" s="13" t="s">
        <v>15</v>
      </c>
      <c r="D103" s="14">
        <v>9</v>
      </c>
    </row>
    <row r="104" spans="1:4" ht="12.75">
      <c r="A104" s="11">
        <v>23</v>
      </c>
      <c r="B104" s="12" t="s">
        <v>102</v>
      </c>
      <c r="C104" s="13" t="s">
        <v>15</v>
      </c>
      <c r="D104" s="14">
        <v>10</v>
      </c>
    </row>
    <row r="105" spans="1:4" ht="12.75">
      <c r="A105" s="11">
        <v>24</v>
      </c>
      <c r="B105" s="12" t="s">
        <v>103</v>
      </c>
      <c r="C105" s="13" t="s">
        <v>15</v>
      </c>
      <c r="D105" s="14">
        <f>ROUND(6.5*1.09*1.22*1.18,0)</f>
        <v>10</v>
      </c>
    </row>
    <row r="106" spans="1:4" ht="12.75">
      <c r="A106" s="11">
        <v>25</v>
      </c>
      <c r="B106" s="12" t="s">
        <v>104</v>
      </c>
      <c r="C106" s="13" t="s">
        <v>15</v>
      </c>
      <c r="D106" s="14">
        <f>ROUND(6.9*1.09*1.22*1.18,0)</f>
        <v>11</v>
      </c>
    </row>
    <row r="107" spans="1:4" ht="12.75">
      <c r="A107" s="11">
        <v>26</v>
      </c>
      <c r="B107" s="12" t="s">
        <v>105</v>
      </c>
      <c r="C107" s="13" t="s">
        <v>15</v>
      </c>
      <c r="D107" s="14">
        <v>7</v>
      </c>
    </row>
    <row r="108" spans="1:4" ht="12.75">
      <c r="A108" s="11">
        <v>27</v>
      </c>
      <c r="B108" s="12" t="s">
        <v>106</v>
      </c>
      <c r="C108" s="13" t="s">
        <v>15</v>
      </c>
      <c r="D108" s="14">
        <v>7</v>
      </c>
    </row>
    <row r="109" spans="1:4" ht="12.75">
      <c r="A109" s="11">
        <v>28</v>
      </c>
      <c r="B109" s="12" t="s">
        <v>107</v>
      </c>
      <c r="C109" s="13" t="s">
        <v>15</v>
      </c>
      <c r="D109" s="14">
        <v>7</v>
      </c>
    </row>
    <row r="110" spans="1:4" ht="12.75">
      <c r="A110" s="11">
        <v>29</v>
      </c>
      <c r="B110" s="12" t="s">
        <v>108</v>
      </c>
      <c r="C110" s="13" t="s">
        <v>15</v>
      </c>
      <c r="D110" s="14">
        <v>7</v>
      </c>
    </row>
    <row r="111" spans="1:4" ht="12.75">
      <c r="A111" s="11">
        <v>30</v>
      </c>
      <c r="B111" s="12" t="s">
        <v>109</v>
      </c>
      <c r="C111" s="13" t="s">
        <v>15</v>
      </c>
      <c r="D111" s="14">
        <f>ROUND(4.7*1.09*1.22*1.18,0)</f>
        <v>7</v>
      </c>
    </row>
    <row r="112" spans="1:4" ht="12.75">
      <c r="A112" s="11">
        <v>31</v>
      </c>
      <c r="B112" s="12" t="s">
        <v>110</v>
      </c>
      <c r="C112" s="13" t="s">
        <v>15</v>
      </c>
      <c r="D112" s="14">
        <v>8</v>
      </c>
    </row>
    <row r="113" spans="1:4" ht="12.75">
      <c r="A113" s="11">
        <v>32</v>
      </c>
      <c r="B113" s="12" t="s">
        <v>111</v>
      </c>
      <c r="C113" s="13" t="s">
        <v>15</v>
      </c>
      <c r="D113" s="14">
        <f>ROUND(4.8*1.09*1.22*1.18,0)</f>
        <v>8</v>
      </c>
    </row>
    <row r="114" spans="1:4" ht="12.75">
      <c r="A114" s="11">
        <v>33</v>
      </c>
      <c r="B114" s="12" t="s">
        <v>112</v>
      </c>
      <c r="C114" s="13" t="s">
        <v>15</v>
      </c>
      <c r="D114" s="14">
        <f>ROUND(4.9*1.09*1.22*1.18,0)</f>
        <v>8</v>
      </c>
    </row>
    <row r="115" spans="1:4" ht="12.75">
      <c r="A115" s="11">
        <v>34</v>
      </c>
      <c r="B115" s="12" t="s">
        <v>113</v>
      </c>
      <c r="C115" s="13" t="s">
        <v>15</v>
      </c>
      <c r="D115" s="14">
        <v>8</v>
      </c>
    </row>
    <row r="116" spans="1:4" ht="12.75">
      <c r="A116" s="11">
        <v>35</v>
      </c>
      <c r="B116" s="12" t="s">
        <v>114</v>
      </c>
      <c r="C116" s="13" t="s">
        <v>15</v>
      </c>
      <c r="D116" s="14">
        <f>ROUND(5.1*1.09*1.22*1.18,0)</f>
        <v>8</v>
      </c>
    </row>
    <row r="117" spans="1:4" ht="12.75">
      <c r="A117" s="11">
        <v>36</v>
      </c>
      <c r="B117" s="12" t="s">
        <v>115</v>
      </c>
      <c r="C117" s="13" t="s">
        <v>15</v>
      </c>
      <c r="D117" s="14">
        <f>ROUND(5.8*1.09*1.22*1.18,0)</f>
        <v>9</v>
      </c>
    </row>
    <row r="118" spans="1:4" ht="12.75">
      <c r="A118" s="11">
        <v>37</v>
      </c>
      <c r="B118" s="12" t="s">
        <v>116</v>
      </c>
      <c r="C118" s="13" t="s">
        <v>15</v>
      </c>
      <c r="D118" s="14">
        <f>ROUND(5.8*1.09*1.22*1.18,0)</f>
        <v>9</v>
      </c>
    </row>
    <row r="119" spans="1:4" ht="12.75">
      <c r="A119" s="11">
        <v>38</v>
      </c>
      <c r="B119" s="12" t="s">
        <v>117</v>
      </c>
      <c r="C119" s="13" t="s">
        <v>15</v>
      </c>
      <c r="D119" s="14">
        <f>ROUND(5.9*1.09*1.22*1.18,0)</f>
        <v>9</v>
      </c>
    </row>
    <row r="120" spans="1:4" ht="12.75">
      <c r="A120" s="11">
        <v>39</v>
      </c>
      <c r="B120" s="12" t="s">
        <v>118</v>
      </c>
      <c r="C120" s="13" t="s">
        <v>15</v>
      </c>
      <c r="D120" s="14">
        <f>ROUND(6.3*1.09*1.22*1.18,0)</f>
        <v>10</v>
      </c>
    </row>
    <row r="121" spans="1:4" ht="12.75">
      <c r="A121" s="11">
        <v>40</v>
      </c>
      <c r="B121" s="12" t="s">
        <v>119</v>
      </c>
      <c r="C121" s="13" t="s">
        <v>15</v>
      </c>
      <c r="D121" s="14">
        <f>ROUND(6.3*1.09*1.22*1.18,0)</f>
        <v>10</v>
      </c>
    </row>
    <row r="122" spans="1:4" ht="12.75">
      <c r="A122" s="11">
        <v>41</v>
      </c>
      <c r="B122" s="12" t="s">
        <v>120</v>
      </c>
      <c r="C122" s="13" t="s">
        <v>15</v>
      </c>
      <c r="D122" s="14">
        <f>ROUND(4.8*1.09*1.22*1.18,0)</f>
        <v>8</v>
      </c>
    </row>
    <row r="123" spans="1:4" ht="12.75">
      <c r="A123" s="11">
        <v>42</v>
      </c>
      <c r="B123" s="12" t="s">
        <v>121</v>
      </c>
      <c r="C123" s="13" t="s">
        <v>15</v>
      </c>
      <c r="D123" s="14">
        <f>ROUND(4.8*1.09*1.22*1.18,0)</f>
        <v>8</v>
      </c>
    </row>
    <row r="124" spans="1:4" ht="12.75">
      <c r="A124" s="11">
        <v>43</v>
      </c>
      <c r="B124" s="12" t="s">
        <v>122</v>
      </c>
      <c r="C124" s="13" t="s">
        <v>15</v>
      </c>
      <c r="D124" s="14">
        <f>ROUND(4.7*1.09*1.22*1.18,0)</f>
        <v>7</v>
      </c>
    </row>
    <row r="125" spans="1:4" ht="12.75">
      <c r="A125" s="11">
        <v>44</v>
      </c>
      <c r="B125" s="12" t="s">
        <v>123</v>
      </c>
      <c r="C125" s="13" t="s">
        <v>15</v>
      </c>
      <c r="D125" s="14">
        <v>7</v>
      </c>
    </row>
    <row r="126" spans="1:4" ht="12.75">
      <c r="A126" s="11">
        <v>45</v>
      </c>
      <c r="B126" s="12" t="s">
        <v>124</v>
      </c>
      <c r="C126" s="13" t="s">
        <v>15</v>
      </c>
      <c r="D126" s="14">
        <f>ROUND(5.1*1.09*1.22*1.18,0)</f>
        <v>8</v>
      </c>
    </row>
    <row r="127" spans="1:4" ht="12.75">
      <c r="A127" s="11">
        <v>46</v>
      </c>
      <c r="B127" s="12" t="s">
        <v>125</v>
      </c>
      <c r="C127" s="13" t="s">
        <v>15</v>
      </c>
      <c r="D127" s="14">
        <v>8</v>
      </c>
    </row>
    <row r="128" spans="1:4" ht="12.75">
      <c r="A128" s="11">
        <v>47</v>
      </c>
      <c r="B128" s="12" t="s">
        <v>126</v>
      </c>
      <c r="C128" s="13" t="s">
        <v>15</v>
      </c>
      <c r="D128" s="14">
        <f>ROUND(5.1*1.09*1.22*1.18,0)</f>
        <v>8</v>
      </c>
    </row>
    <row r="129" spans="1:4" ht="12.75">
      <c r="A129" s="11">
        <v>48</v>
      </c>
      <c r="B129" s="12" t="s">
        <v>127</v>
      </c>
      <c r="C129" s="13" t="s">
        <v>15</v>
      </c>
      <c r="D129" s="14">
        <v>8</v>
      </c>
    </row>
    <row r="130" spans="1:4" ht="12.75">
      <c r="A130" s="11">
        <v>49</v>
      </c>
      <c r="B130" s="12" t="s">
        <v>128</v>
      </c>
      <c r="C130" s="13" t="s">
        <v>15</v>
      </c>
      <c r="D130" s="14">
        <v>8</v>
      </c>
    </row>
    <row r="131" spans="1:4" ht="12.75">
      <c r="A131" s="11">
        <v>50</v>
      </c>
      <c r="B131" s="12" t="s">
        <v>129</v>
      </c>
      <c r="C131" s="13" t="s">
        <v>15</v>
      </c>
      <c r="D131" s="14">
        <f>ROUND(5.2*1.09*1.22*1.18,0)</f>
        <v>8</v>
      </c>
    </row>
    <row r="132" spans="1:4" ht="12.75">
      <c r="A132" s="11">
        <v>51</v>
      </c>
      <c r="B132" s="12" t="s">
        <v>130</v>
      </c>
      <c r="C132" s="13" t="s">
        <v>15</v>
      </c>
      <c r="D132" s="14">
        <v>8</v>
      </c>
    </row>
    <row r="133" spans="1:4" ht="12.75">
      <c r="A133" s="11">
        <v>52</v>
      </c>
      <c r="B133" s="12" t="s">
        <v>131</v>
      </c>
      <c r="C133" s="13" t="s">
        <v>15</v>
      </c>
      <c r="D133" s="14">
        <v>8</v>
      </c>
    </row>
    <row r="134" spans="1:4" ht="12.75">
      <c r="A134" s="11">
        <v>53</v>
      </c>
      <c r="B134" s="12" t="s">
        <v>132</v>
      </c>
      <c r="C134" s="13" t="s">
        <v>15</v>
      </c>
      <c r="D134" s="14">
        <v>10</v>
      </c>
    </row>
    <row r="135" spans="1:4" ht="12.75">
      <c r="A135" s="11">
        <v>54</v>
      </c>
      <c r="B135" s="12" t="s">
        <v>133</v>
      </c>
      <c r="C135" s="13" t="s">
        <v>15</v>
      </c>
      <c r="D135" s="14">
        <f>ROUND(7.4*1.09*1.22*1.18,0)</f>
        <v>12</v>
      </c>
    </row>
    <row r="136" spans="1:4" ht="12.75">
      <c r="A136" s="11">
        <v>55</v>
      </c>
      <c r="B136" s="12" t="s">
        <v>134</v>
      </c>
      <c r="C136" s="13" t="s">
        <v>15</v>
      </c>
      <c r="D136" s="14">
        <v>10</v>
      </c>
    </row>
    <row r="137" spans="1:4" ht="12.75">
      <c r="A137" s="11">
        <v>56</v>
      </c>
      <c r="B137" s="12" t="s">
        <v>135</v>
      </c>
      <c r="C137" s="13" t="s">
        <v>15</v>
      </c>
      <c r="D137" s="14">
        <v>10</v>
      </c>
    </row>
    <row r="138" spans="1:4" ht="12.75">
      <c r="A138" s="11">
        <v>57</v>
      </c>
      <c r="B138" s="12" t="s">
        <v>136</v>
      </c>
      <c r="C138" s="13" t="s">
        <v>15</v>
      </c>
      <c r="D138" s="14">
        <f>ROUND(4.3*1.09*1.22*1.18,0)</f>
        <v>7</v>
      </c>
    </row>
    <row r="139" spans="1:4" ht="12.75">
      <c r="A139" s="11">
        <v>58</v>
      </c>
      <c r="B139" s="12" t="s">
        <v>137</v>
      </c>
      <c r="C139" s="13" t="s">
        <v>15</v>
      </c>
      <c r="D139" s="14">
        <f>ROUND(4.4*1.09*1.22*1.18,0)</f>
        <v>7</v>
      </c>
    </row>
    <row r="140" spans="1:4" ht="12.75">
      <c r="A140" s="11">
        <v>59</v>
      </c>
      <c r="B140" s="12" t="s">
        <v>138</v>
      </c>
      <c r="C140" s="13" t="s">
        <v>15</v>
      </c>
      <c r="D140" s="14">
        <f>ROUND(5.9*1.09*1.22*1.18,0)</f>
        <v>9</v>
      </c>
    </row>
    <row r="141" spans="1:4" ht="12.75">
      <c r="A141" s="11">
        <v>60</v>
      </c>
      <c r="B141" s="12" t="s">
        <v>139</v>
      </c>
      <c r="C141" s="13" t="s">
        <v>15</v>
      </c>
      <c r="D141" s="14">
        <f>ROUND(6.1*1.09*1.22*1.18,0)</f>
        <v>10</v>
      </c>
    </row>
    <row r="142" spans="1:4" ht="12.75">
      <c r="A142" s="11">
        <v>61</v>
      </c>
      <c r="B142" s="12" t="s">
        <v>140</v>
      </c>
      <c r="C142" s="13" t="s">
        <v>15</v>
      </c>
      <c r="D142" s="14">
        <v>10</v>
      </c>
    </row>
    <row r="143" spans="1:4" ht="12.75">
      <c r="A143" s="11">
        <v>62</v>
      </c>
      <c r="B143" s="12" t="s">
        <v>141</v>
      </c>
      <c r="C143" s="13" t="s">
        <v>15</v>
      </c>
      <c r="D143" s="14">
        <f>ROUND(6.2*1.09*1.22*1.18,0)</f>
        <v>10</v>
      </c>
    </row>
    <row r="144" spans="1:4" ht="12.75">
      <c r="A144" s="11">
        <v>63</v>
      </c>
      <c r="B144" s="12" t="s">
        <v>142</v>
      </c>
      <c r="C144" s="13" t="s">
        <v>15</v>
      </c>
      <c r="D144" s="14">
        <f>ROUND(6.3*1.09*1.22*1.18,0)</f>
        <v>10</v>
      </c>
    </row>
    <row r="145" spans="1:4" ht="12.75">
      <c r="A145" s="11">
        <v>64</v>
      </c>
      <c r="B145" s="12" t="s">
        <v>143</v>
      </c>
      <c r="C145" s="13" t="s">
        <v>15</v>
      </c>
      <c r="D145" s="14">
        <f>ROUND(6.4*1.09*1.22*1.18,0)</f>
        <v>10</v>
      </c>
    </row>
    <row r="146" spans="1:4" ht="12.75">
      <c r="A146" s="11">
        <v>65</v>
      </c>
      <c r="B146" s="12" t="s">
        <v>144</v>
      </c>
      <c r="C146" s="13" t="s">
        <v>15</v>
      </c>
      <c r="D146" s="14">
        <v>11</v>
      </c>
    </row>
    <row r="147" spans="1:4" ht="12.75">
      <c r="A147" s="11">
        <v>66</v>
      </c>
      <c r="B147" s="12" t="s">
        <v>145</v>
      </c>
      <c r="C147" s="13" t="s">
        <v>15</v>
      </c>
      <c r="D147" s="14">
        <f>ROUND(7.1*1.09*1.22*1.18,0)</f>
        <v>11</v>
      </c>
    </row>
    <row r="148" spans="1:4" ht="12.75">
      <c r="A148" s="11">
        <v>67</v>
      </c>
      <c r="B148" s="12" t="s">
        <v>146</v>
      </c>
      <c r="C148" s="13" t="s">
        <v>15</v>
      </c>
      <c r="D148" s="14">
        <v>11</v>
      </c>
    </row>
    <row r="149" spans="1:4" ht="12.75">
      <c r="A149" s="11">
        <v>68</v>
      </c>
      <c r="B149" s="12" t="s">
        <v>147</v>
      </c>
      <c r="C149" s="13" t="s">
        <v>15</v>
      </c>
      <c r="D149" s="14">
        <v>11</v>
      </c>
    </row>
    <row r="150" spans="1:4" ht="12.75">
      <c r="A150" s="11">
        <v>69</v>
      </c>
      <c r="B150" s="12" t="s">
        <v>148</v>
      </c>
      <c r="C150" s="13" t="s">
        <v>15</v>
      </c>
      <c r="D150" s="14">
        <v>12</v>
      </c>
    </row>
    <row r="151" spans="1:4" ht="12.75">
      <c r="A151" s="11">
        <v>70</v>
      </c>
      <c r="B151" s="12" t="s">
        <v>149</v>
      </c>
      <c r="C151" s="13" t="s">
        <v>15</v>
      </c>
      <c r="D151" s="14">
        <v>13</v>
      </c>
    </row>
    <row r="152" spans="1:4" ht="12.75">
      <c r="A152" s="11">
        <v>71</v>
      </c>
      <c r="B152" s="12" t="s">
        <v>150</v>
      </c>
      <c r="C152" s="13" t="s">
        <v>15</v>
      </c>
      <c r="D152" s="14">
        <v>24</v>
      </c>
    </row>
    <row r="153" spans="1:4" ht="12.75">
      <c r="A153" s="11">
        <v>72</v>
      </c>
      <c r="B153" s="12" t="s">
        <v>151</v>
      </c>
      <c r="C153" s="13" t="s">
        <v>15</v>
      </c>
      <c r="D153" s="14">
        <f>ROUND(7.3*1.09*1.22*1.18,0)</f>
        <v>11</v>
      </c>
    </row>
    <row r="154" spans="1:4" ht="12.75">
      <c r="A154" s="11">
        <v>73</v>
      </c>
      <c r="B154" s="12" t="s">
        <v>152</v>
      </c>
      <c r="C154" s="13" t="s">
        <v>15</v>
      </c>
      <c r="D154" s="14">
        <f>ROUND(4.3*1.09*1.22*1.18,0)</f>
        <v>7</v>
      </c>
    </row>
    <row r="155" spans="1:4" ht="12.75">
      <c r="A155" s="11">
        <v>74</v>
      </c>
      <c r="B155" s="12" t="s">
        <v>153</v>
      </c>
      <c r="C155" s="13" t="s">
        <v>15</v>
      </c>
      <c r="D155" s="14">
        <v>7</v>
      </c>
    </row>
    <row r="156" spans="1:4" ht="12.75">
      <c r="A156" s="11">
        <v>75</v>
      </c>
      <c r="B156" s="12" t="s">
        <v>154</v>
      </c>
      <c r="C156" s="13" t="s">
        <v>15</v>
      </c>
      <c r="D156" s="14">
        <v>10</v>
      </c>
    </row>
    <row r="157" spans="1:4" ht="12.75">
      <c r="A157" s="11">
        <v>76</v>
      </c>
      <c r="B157" s="12" t="s">
        <v>155</v>
      </c>
      <c r="C157" s="13" t="s">
        <v>15</v>
      </c>
      <c r="D157" s="14">
        <f>ROUND(7.8*1.09*1.22*1.18,0)</f>
        <v>12</v>
      </c>
    </row>
    <row r="158" spans="1:4" ht="12.75">
      <c r="A158" s="11">
        <v>77</v>
      </c>
      <c r="B158" s="12" t="s">
        <v>156</v>
      </c>
      <c r="C158" s="13" t="s">
        <v>15</v>
      </c>
      <c r="D158" s="14">
        <f>ROUND(8.5*1.09*1.22*1.18,0)</f>
        <v>13</v>
      </c>
    </row>
    <row r="159" spans="1:2" ht="18">
      <c r="A159" s="5" t="s">
        <v>193</v>
      </c>
      <c r="B159" s="5"/>
    </row>
    <row r="160" spans="1:4" ht="12.75">
      <c r="A160" s="2" t="s">
        <v>10</v>
      </c>
      <c r="B160" s="2" t="s">
        <v>11</v>
      </c>
      <c r="C160" s="2" t="s">
        <v>12</v>
      </c>
      <c r="D160" s="2" t="s">
        <v>13</v>
      </c>
    </row>
    <row r="161" spans="1:4" ht="12.75">
      <c r="A161" s="2">
        <v>1</v>
      </c>
      <c r="B161" s="38" t="s">
        <v>496</v>
      </c>
      <c r="C161" s="6" t="s">
        <v>15</v>
      </c>
      <c r="D161" s="3">
        <v>8</v>
      </c>
    </row>
    <row r="162" spans="1:4" ht="12.75" customHeight="1">
      <c r="A162" s="11">
        <v>2</v>
      </c>
      <c r="B162" s="39" t="s">
        <v>157</v>
      </c>
      <c r="C162" s="13" t="s">
        <v>15</v>
      </c>
      <c r="D162" s="14">
        <v>7.5</v>
      </c>
    </row>
    <row r="163" spans="1:4" ht="12.75">
      <c r="A163" s="11">
        <v>3</v>
      </c>
      <c r="B163" s="39" t="s">
        <v>158</v>
      </c>
      <c r="C163" s="13" t="s">
        <v>20</v>
      </c>
      <c r="D163" s="14">
        <v>5</v>
      </c>
    </row>
    <row r="164" spans="1:4" ht="12.75">
      <c r="A164" s="11">
        <v>4</v>
      </c>
      <c r="B164" s="40" t="s">
        <v>546</v>
      </c>
      <c r="C164" s="16" t="s">
        <v>15</v>
      </c>
      <c r="D164" s="14">
        <v>7</v>
      </c>
    </row>
    <row r="165" spans="1:4" ht="12.75">
      <c r="A165" s="11">
        <v>5</v>
      </c>
      <c r="B165" s="40" t="s">
        <v>161</v>
      </c>
      <c r="C165" s="13" t="s">
        <v>15</v>
      </c>
      <c r="D165" s="14">
        <v>8</v>
      </c>
    </row>
    <row r="166" spans="1:4" ht="12.75">
      <c r="A166" s="11">
        <v>6</v>
      </c>
      <c r="B166" s="41" t="s">
        <v>545</v>
      </c>
      <c r="C166" s="16" t="s">
        <v>15</v>
      </c>
      <c r="D166" s="14">
        <v>8</v>
      </c>
    </row>
    <row r="167" spans="1:4" ht="12.75">
      <c r="A167" s="11">
        <v>7</v>
      </c>
      <c r="B167" s="15" t="s">
        <v>504</v>
      </c>
      <c r="C167" s="13" t="s">
        <v>15</v>
      </c>
      <c r="D167" s="14">
        <v>8</v>
      </c>
    </row>
    <row r="168" spans="1:4" ht="12.75">
      <c r="A168" s="11">
        <v>8</v>
      </c>
      <c r="B168" s="15" t="s">
        <v>163</v>
      </c>
      <c r="C168" s="13" t="s">
        <v>20</v>
      </c>
      <c r="D168" s="14">
        <v>13</v>
      </c>
    </row>
    <row r="169" spans="1:4" ht="12.75">
      <c r="A169" s="11">
        <v>9</v>
      </c>
      <c r="B169" s="40" t="s">
        <v>164</v>
      </c>
      <c r="C169" s="13" t="s">
        <v>15</v>
      </c>
      <c r="D169" s="14">
        <v>8</v>
      </c>
    </row>
    <row r="170" spans="1:4" ht="12.75">
      <c r="A170" s="11">
        <v>10</v>
      </c>
      <c r="B170" s="40" t="s">
        <v>165</v>
      </c>
      <c r="C170" s="13" t="s">
        <v>15</v>
      </c>
      <c r="D170" s="14">
        <v>15</v>
      </c>
    </row>
    <row r="171" spans="1:4" ht="12.75">
      <c r="A171" s="11">
        <v>11</v>
      </c>
      <c r="B171" s="40" t="s">
        <v>498</v>
      </c>
      <c r="C171" s="13" t="s">
        <v>20</v>
      </c>
      <c r="D171" s="14">
        <v>17</v>
      </c>
    </row>
    <row r="172" spans="1:4" ht="12.75">
      <c r="A172" s="11">
        <v>12</v>
      </c>
      <c r="B172" s="40" t="s">
        <v>166</v>
      </c>
      <c r="C172" s="13" t="s">
        <v>15</v>
      </c>
      <c r="D172" s="14">
        <v>13</v>
      </c>
    </row>
    <row r="173" spans="1:4" ht="12.75">
      <c r="A173" s="11">
        <v>13</v>
      </c>
      <c r="B173" s="15" t="s">
        <v>168</v>
      </c>
      <c r="C173" s="13" t="s">
        <v>20</v>
      </c>
      <c r="D173" s="14">
        <v>9</v>
      </c>
    </row>
    <row r="174" spans="1:4" ht="12.75">
      <c r="A174" s="11">
        <v>14</v>
      </c>
      <c r="B174" s="39" t="s">
        <v>159</v>
      </c>
      <c r="C174" s="13" t="s">
        <v>15</v>
      </c>
      <c r="D174" s="14">
        <v>10</v>
      </c>
    </row>
    <row r="175" spans="1:4" ht="12.75">
      <c r="A175" s="11">
        <v>15</v>
      </c>
      <c r="B175" s="40" t="s">
        <v>169</v>
      </c>
      <c r="C175" s="13" t="s">
        <v>15</v>
      </c>
      <c r="D175" s="14">
        <v>15</v>
      </c>
    </row>
    <row r="176" spans="1:4" ht="12.75">
      <c r="A176" s="11">
        <v>16</v>
      </c>
      <c r="B176" s="40" t="s">
        <v>160</v>
      </c>
      <c r="C176" s="13" t="s">
        <v>15</v>
      </c>
      <c r="D176" s="14">
        <v>15</v>
      </c>
    </row>
    <row r="177" spans="1:4" ht="12.75">
      <c r="A177" s="11">
        <v>17</v>
      </c>
      <c r="B177" s="39" t="s">
        <v>170</v>
      </c>
      <c r="C177" s="13" t="s">
        <v>15</v>
      </c>
      <c r="D177" s="14">
        <v>16</v>
      </c>
    </row>
    <row r="178" spans="1:4" ht="12.75">
      <c r="A178" s="11">
        <v>18</v>
      </c>
      <c r="B178" s="39" t="s">
        <v>171</v>
      </c>
      <c r="C178" s="13" t="s">
        <v>20</v>
      </c>
      <c r="D178" s="14">
        <v>14</v>
      </c>
    </row>
    <row r="179" spans="1:4" ht="12.75">
      <c r="A179" s="11">
        <v>19</v>
      </c>
      <c r="B179" s="39" t="s">
        <v>506</v>
      </c>
      <c r="C179" s="13" t="s">
        <v>20</v>
      </c>
      <c r="D179" s="14">
        <v>20</v>
      </c>
    </row>
    <row r="180" spans="1:4" ht="12.75">
      <c r="A180" s="11">
        <v>20</v>
      </c>
      <c r="B180" s="40" t="s">
        <v>174</v>
      </c>
      <c r="C180" s="13" t="s">
        <v>20</v>
      </c>
      <c r="D180" s="14">
        <v>22</v>
      </c>
    </row>
    <row r="181" spans="1:4" ht="12.75">
      <c r="A181" s="11">
        <v>21</v>
      </c>
      <c r="B181" s="40" t="s">
        <v>172</v>
      </c>
      <c r="C181" s="13" t="s">
        <v>15</v>
      </c>
      <c r="D181" s="14">
        <v>20</v>
      </c>
    </row>
    <row r="182" spans="1:4" ht="12.75">
      <c r="A182" s="11">
        <v>22</v>
      </c>
      <c r="B182" s="40" t="s">
        <v>173</v>
      </c>
      <c r="C182" s="13" t="s">
        <v>15</v>
      </c>
      <c r="D182" s="14">
        <v>20</v>
      </c>
    </row>
    <row r="183" spans="1:4" ht="12.75">
      <c r="A183" s="11">
        <v>23</v>
      </c>
      <c r="B183" s="40" t="s">
        <v>177</v>
      </c>
      <c r="C183" s="13" t="s">
        <v>20</v>
      </c>
      <c r="D183" s="14">
        <v>20</v>
      </c>
    </row>
    <row r="184" spans="1:4" ht="12.75">
      <c r="A184" s="11">
        <v>24</v>
      </c>
      <c r="B184" s="40" t="s">
        <v>499</v>
      </c>
      <c r="C184" s="13" t="s">
        <v>20</v>
      </c>
      <c r="D184" s="14">
        <v>20</v>
      </c>
    </row>
    <row r="185" spans="1:4" ht="12.75">
      <c r="A185" s="11">
        <v>25</v>
      </c>
      <c r="B185" s="40" t="s">
        <v>181</v>
      </c>
      <c r="C185" s="13" t="s">
        <v>20</v>
      </c>
      <c r="D185" s="14">
        <v>16</v>
      </c>
    </row>
    <row r="186" spans="1:4" ht="12.75">
      <c r="A186" s="11">
        <v>26</v>
      </c>
      <c r="B186" s="40" t="s">
        <v>162</v>
      </c>
      <c r="C186" s="13" t="s">
        <v>15</v>
      </c>
      <c r="D186" s="14">
        <v>16</v>
      </c>
    </row>
    <row r="187" spans="1:4" ht="12.75">
      <c r="A187" s="11">
        <v>27</v>
      </c>
      <c r="B187" s="40" t="s">
        <v>175</v>
      </c>
      <c r="C187" s="13" t="s">
        <v>15</v>
      </c>
      <c r="D187" s="14">
        <v>10</v>
      </c>
    </row>
    <row r="188" spans="1:4" ht="12.75">
      <c r="A188" s="11">
        <v>28</v>
      </c>
      <c r="B188" s="40" t="s">
        <v>186</v>
      </c>
      <c r="C188" s="13" t="s">
        <v>20</v>
      </c>
      <c r="D188" s="14">
        <v>10</v>
      </c>
    </row>
    <row r="189" spans="1:4" ht="12.75">
      <c r="A189" s="11">
        <v>29</v>
      </c>
      <c r="B189" s="40" t="s">
        <v>176</v>
      </c>
      <c r="C189" s="13" t="s">
        <v>15</v>
      </c>
      <c r="D189" s="14">
        <v>10</v>
      </c>
    </row>
    <row r="190" spans="1:4" ht="12.75">
      <c r="A190" s="11">
        <v>30</v>
      </c>
      <c r="B190" s="40" t="s">
        <v>505</v>
      </c>
      <c r="C190" s="13" t="s">
        <v>20</v>
      </c>
      <c r="D190" s="14">
        <v>12</v>
      </c>
    </row>
    <row r="191" spans="1:4" ht="12.75">
      <c r="A191" s="11">
        <v>31</v>
      </c>
      <c r="B191" s="40" t="s">
        <v>500</v>
      </c>
      <c r="C191" s="13" t="s">
        <v>20</v>
      </c>
      <c r="D191" s="14">
        <v>12</v>
      </c>
    </row>
    <row r="192" spans="1:4" ht="12.75">
      <c r="A192" s="11">
        <v>32</v>
      </c>
      <c r="B192" s="40" t="s">
        <v>178</v>
      </c>
      <c r="C192" s="13" t="s">
        <v>15</v>
      </c>
      <c r="D192" s="14">
        <v>17</v>
      </c>
    </row>
    <row r="193" spans="1:4" ht="12.75">
      <c r="A193" s="11">
        <v>33</v>
      </c>
      <c r="B193" s="39" t="s">
        <v>501</v>
      </c>
      <c r="C193" s="13" t="s">
        <v>20</v>
      </c>
      <c r="D193" s="14">
        <v>20</v>
      </c>
    </row>
    <row r="194" spans="1:4" ht="12.75">
      <c r="A194" s="11">
        <v>34</v>
      </c>
      <c r="B194" s="39" t="s">
        <v>502</v>
      </c>
      <c r="C194" s="13" t="s">
        <v>20</v>
      </c>
      <c r="D194" s="14">
        <v>20</v>
      </c>
    </row>
    <row r="195" spans="1:4" ht="12.75">
      <c r="A195" s="11">
        <v>35</v>
      </c>
      <c r="B195" s="39" t="s">
        <v>503</v>
      </c>
      <c r="C195" s="13" t="s">
        <v>20</v>
      </c>
      <c r="D195" s="14">
        <v>22</v>
      </c>
    </row>
    <row r="196" spans="1:4" ht="12.75">
      <c r="A196" s="11">
        <v>36</v>
      </c>
      <c r="B196" s="40" t="s">
        <v>179</v>
      </c>
      <c r="C196" s="13" t="s">
        <v>15</v>
      </c>
      <c r="D196" s="14">
        <v>11</v>
      </c>
    </row>
    <row r="197" spans="1:4" ht="12.75">
      <c r="A197" s="11">
        <v>37</v>
      </c>
      <c r="B197" s="40" t="s">
        <v>180</v>
      </c>
      <c r="C197" s="13" t="s">
        <v>15</v>
      </c>
      <c r="D197" s="14">
        <v>11</v>
      </c>
    </row>
    <row r="198" spans="1:4" ht="12.75">
      <c r="A198" s="11">
        <v>38</v>
      </c>
      <c r="B198" s="40" t="s">
        <v>182</v>
      </c>
      <c r="C198" s="13" t="s">
        <v>15</v>
      </c>
      <c r="D198" s="14">
        <v>16</v>
      </c>
    </row>
    <row r="199" spans="1:4" ht="12.75">
      <c r="A199" s="11">
        <v>39</v>
      </c>
      <c r="B199" s="40" t="s">
        <v>183</v>
      </c>
      <c r="C199" s="13" t="s">
        <v>15</v>
      </c>
      <c r="D199" s="14">
        <v>18</v>
      </c>
    </row>
    <row r="200" spans="1:4" ht="12.75">
      <c r="A200" s="11">
        <v>40</v>
      </c>
      <c r="B200" s="40" t="s">
        <v>184</v>
      </c>
      <c r="C200" s="13" t="s">
        <v>15</v>
      </c>
      <c r="D200" s="14">
        <v>19</v>
      </c>
    </row>
    <row r="201" spans="1:4" ht="12.75">
      <c r="A201" s="11">
        <v>41</v>
      </c>
      <c r="B201" s="40" t="s">
        <v>185</v>
      </c>
      <c r="C201" s="13" t="s">
        <v>15</v>
      </c>
      <c r="D201" s="14">
        <v>20</v>
      </c>
    </row>
    <row r="202" spans="1:4" ht="12.75">
      <c r="A202" s="11">
        <v>42</v>
      </c>
      <c r="B202" s="40" t="s">
        <v>187</v>
      </c>
      <c r="C202" s="13" t="s">
        <v>15</v>
      </c>
      <c r="D202" s="14">
        <v>22</v>
      </c>
    </row>
    <row r="203" spans="1:4" ht="12.75">
      <c r="A203" s="11">
        <v>43</v>
      </c>
      <c r="B203" s="39" t="s">
        <v>497</v>
      </c>
      <c r="C203" s="13" t="s">
        <v>20</v>
      </c>
      <c r="D203" s="14">
        <v>25</v>
      </c>
    </row>
    <row r="204" spans="1:4" ht="12.75" customHeight="1">
      <c r="A204" s="11">
        <v>44</v>
      </c>
      <c r="B204" s="39" t="s">
        <v>189</v>
      </c>
      <c r="C204" s="13" t="s">
        <v>20</v>
      </c>
      <c r="D204" s="14">
        <v>30</v>
      </c>
    </row>
    <row r="205" spans="1:4" ht="12.75" customHeight="1">
      <c r="A205" s="11">
        <v>45</v>
      </c>
      <c r="B205" s="39" t="s">
        <v>533</v>
      </c>
      <c r="C205" s="13" t="s">
        <v>20</v>
      </c>
      <c r="D205" s="14">
        <v>30</v>
      </c>
    </row>
    <row r="206" spans="1:4" ht="12.75">
      <c r="A206" s="11">
        <v>46</v>
      </c>
      <c r="B206" s="18" t="s">
        <v>190</v>
      </c>
      <c r="C206" s="17" t="s">
        <v>15</v>
      </c>
      <c r="D206" s="14">
        <v>44</v>
      </c>
    </row>
    <row r="207" spans="1:4" ht="12.75">
      <c r="A207" s="11">
        <v>47</v>
      </c>
      <c r="B207" s="18" t="s">
        <v>544</v>
      </c>
      <c r="C207" s="16" t="s">
        <v>15</v>
      </c>
      <c r="D207" s="14">
        <v>30</v>
      </c>
    </row>
    <row r="208" spans="1:4" ht="12.75">
      <c r="A208" s="11">
        <v>48</v>
      </c>
      <c r="B208" s="40" t="s">
        <v>191</v>
      </c>
      <c r="C208" s="16" t="s">
        <v>20</v>
      </c>
      <c r="D208" s="14">
        <v>32</v>
      </c>
    </row>
    <row r="209" spans="1:4" ht="12.75">
      <c r="A209" s="11">
        <v>49</v>
      </c>
      <c r="B209" s="40" t="s">
        <v>167</v>
      </c>
      <c r="C209" s="16" t="s">
        <v>15</v>
      </c>
      <c r="D209" s="14">
        <v>30</v>
      </c>
    </row>
    <row r="210" spans="1:4" ht="12.75">
      <c r="A210" s="11">
        <v>50</v>
      </c>
      <c r="B210" s="39" t="s">
        <v>188</v>
      </c>
      <c r="C210" s="13" t="s">
        <v>15</v>
      </c>
      <c r="D210" s="14">
        <v>50</v>
      </c>
    </row>
    <row r="211" spans="1:4" ht="12.75">
      <c r="A211" s="11">
        <v>51</v>
      </c>
      <c r="B211" s="40" t="s">
        <v>534</v>
      </c>
      <c r="C211" s="17" t="s">
        <v>15</v>
      </c>
      <c r="D211" s="14">
        <v>14</v>
      </c>
    </row>
    <row r="212" spans="1:4" ht="12.75">
      <c r="A212" s="11">
        <v>52</v>
      </c>
      <c r="B212" s="18" t="s">
        <v>537</v>
      </c>
      <c r="C212" s="17" t="s">
        <v>15</v>
      </c>
      <c r="D212" s="14">
        <f>ROUND(5.3*1.09*1.22*1.18,0)</f>
        <v>8</v>
      </c>
    </row>
    <row r="213" spans="1:4" ht="12.75">
      <c r="A213" s="11">
        <v>53</v>
      </c>
      <c r="B213" s="18" t="s">
        <v>192</v>
      </c>
      <c r="C213" s="16" t="s">
        <v>15</v>
      </c>
      <c r="D213" s="14">
        <f>ROUND(5.9*1.09*1.22*1.18,0)</f>
        <v>9</v>
      </c>
    </row>
    <row r="214" spans="1:4" ht="12.75">
      <c r="A214" s="21">
        <v>54</v>
      </c>
      <c r="B214" s="21" t="s">
        <v>214</v>
      </c>
      <c r="C214" s="21" t="s">
        <v>20</v>
      </c>
      <c r="D214" s="21">
        <f>ROUND(9*1.18*1.18,2)</f>
        <v>12.53</v>
      </c>
    </row>
    <row r="215" spans="1:4" ht="12.75">
      <c r="A215" s="8">
        <v>55</v>
      </c>
      <c r="B215" s="8" t="s">
        <v>270</v>
      </c>
      <c r="C215" s="8" t="s">
        <v>20</v>
      </c>
      <c r="D215" s="8">
        <f>ROUND(8*1.18*1.18,2)</f>
        <v>11.14</v>
      </c>
    </row>
    <row r="216" spans="1:4" ht="12.75">
      <c r="A216" s="21">
        <v>56</v>
      </c>
      <c r="B216" s="8" t="s">
        <v>271</v>
      </c>
      <c r="C216" s="8" t="s">
        <v>20</v>
      </c>
      <c r="D216" s="8">
        <f>ROUND(20*1.18*1.18,2)</f>
        <v>27.85</v>
      </c>
    </row>
    <row r="217" spans="1:4" ht="12.75">
      <c r="A217" s="8">
        <v>57</v>
      </c>
      <c r="B217" s="8" t="s">
        <v>215</v>
      </c>
      <c r="C217" s="8" t="s">
        <v>20</v>
      </c>
      <c r="D217" s="8">
        <f>ROUND(25*1.18*1.18,2)</f>
        <v>34.81</v>
      </c>
    </row>
    <row r="218" spans="1:4" ht="12.75">
      <c r="A218" s="8">
        <v>58</v>
      </c>
      <c r="B218" s="8" t="s">
        <v>216</v>
      </c>
      <c r="C218" s="8" t="s">
        <v>20</v>
      </c>
      <c r="D218" s="8">
        <f>ROUND(30*1.18*1.18,2)</f>
        <v>41.77</v>
      </c>
    </row>
    <row r="219" spans="1:2" ht="18">
      <c r="A219" s="8"/>
      <c r="B219" s="4" t="s">
        <v>194</v>
      </c>
    </row>
    <row r="220" spans="1:4" ht="12.75">
      <c r="A220" s="2"/>
      <c r="B220" s="19" t="s">
        <v>195</v>
      </c>
      <c r="C220" s="2"/>
      <c r="D220" s="2"/>
    </row>
    <row r="221" spans="1:4" ht="12.75">
      <c r="A221" s="2">
        <v>1</v>
      </c>
      <c r="B221" s="9" t="s">
        <v>196</v>
      </c>
      <c r="C221" s="6" t="s">
        <v>20</v>
      </c>
      <c r="D221" s="2">
        <f>ROUND(1810*1.18,0)</f>
        <v>2136</v>
      </c>
    </row>
    <row r="222" spans="1:4" ht="12.75">
      <c r="A222" s="2">
        <v>2</v>
      </c>
      <c r="B222" s="8" t="s">
        <v>547</v>
      </c>
      <c r="C222" s="2" t="s">
        <v>20</v>
      </c>
      <c r="D222" s="2">
        <f>ROUND(1000*1.18,0)</f>
        <v>1180</v>
      </c>
    </row>
    <row r="223" spans="1:4" ht="12.75">
      <c r="A223" s="2">
        <v>3</v>
      </c>
      <c r="B223" s="8" t="s">
        <v>197</v>
      </c>
      <c r="C223" s="2" t="s">
        <v>20</v>
      </c>
      <c r="D223" s="2">
        <f>ROUND(858*1.18,0)</f>
        <v>1012</v>
      </c>
    </row>
    <row r="224" spans="1:4" ht="12.75">
      <c r="A224" s="2">
        <v>4</v>
      </c>
      <c r="B224" s="8" t="s">
        <v>548</v>
      </c>
      <c r="C224" s="2" t="s">
        <v>20</v>
      </c>
      <c r="D224" s="2">
        <f>ROUND(1057*1.18,0)</f>
        <v>1247</v>
      </c>
    </row>
    <row r="225" spans="1:4" ht="12.75">
      <c r="A225" s="2">
        <v>5</v>
      </c>
      <c r="B225" s="8" t="s">
        <v>272</v>
      </c>
      <c r="C225" s="2" t="s">
        <v>20</v>
      </c>
      <c r="D225" s="2">
        <f>ROUND(2470*1.18,0)</f>
        <v>2915</v>
      </c>
    </row>
    <row r="226" spans="1:4" ht="12.75">
      <c r="A226" s="2"/>
      <c r="B226" s="20" t="s">
        <v>198</v>
      </c>
      <c r="C226" s="2"/>
      <c r="D226" s="2"/>
    </row>
    <row r="227" spans="1:4" ht="12.75">
      <c r="A227" s="2">
        <v>1</v>
      </c>
      <c r="B227" s="8" t="s">
        <v>199</v>
      </c>
      <c r="C227" s="2"/>
      <c r="D227" s="2"/>
    </row>
    <row r="228" spans="1:4" ht="12.75">
      <c r="A228" s="2"/>
      <c r="B228" s="8" t="s">
        <v>200</v>
      </c>
      <c r="C228" s="2" t="s">
        <v>18</v>
      </c>
      <c r="D228" s="2">
        <v>5500</v>
      </c>
    </row>
    <row r="229" spans="1:4" ht="12.75">
      <c r="A229" s="2">
        <v>2</v>
      </c>
      <c r="B229" s="8" t="s">
        <v>201</v>
      </c>
      <c r="C229" s="2" t="s">
        <v>202</v>
      </c>
      <c r="D229" s="2">
        <f>ROUND(1277*1.18,0)</f>
        <v>1507</v>
      </c>
    </row>
    <row r="230" spans="1:4" ht="12.75">
      <c r="A230" s="2">
        <v>3</v>
      </c>
      <c r="B230" s="8" t="s">
        <v>203</v>
      </c>
      <c r="C230" s="2" t="s">
        <v>20</v>
      </c>
      <c r="D230" s="2">
        <f>ROUND(5.8,0)</f>
        <v>6</v>
      </c>
    </row>
    <row r="231" spans="1:4" ht="12.75">
      <c r="A231" s="2">
        <v>4</v>
      </c>
      <c r="B231" s="8" t="s">
        <v>204</v>
      </c>
      <c r="C231" s="2" t="s">
        <v>20</v>
      </c>
      <c r="D231" s="2">
        <f>ROUND(8.5,0)</f>
        <v>9</v>
      </c>
    </row>
    <row r="232" spans="1:4" ht="12.75">
      <c r="A232" s="2">
        <v>5</v>
      </c>
      <c r="B232" s="8" t="s">
        <v>205</v>
      </c>
      <c r="C232" s="2" t="s">
        <v>20</v>
      </c>
      <c r="D232" s="2">
        <f>ROUND(17.7,0)</f>
        <v>18</v>
      </c>
    </row>
    <row r="233" spans="1:4" ht="12.75">
      <c r="A233" s="2">
        <v>6</v>
      </c>
      <c r="B233" s="9" t="s">
        <v>206</v>
      </c>
      <c r="C233" s="6" t="s">
        <v>20</v>
      </c>
      <c r="D233" s="2">
        <f>ROUND(8.8,0)</f>
        <v>9</v>
      </c>
    </row>
    <row r="234" spans="1:4" ht="12.75">
      <c r="A234" s="2">
        <v>7</v>
      </c>
      <c r="B234" s="9" t="s">
        <v>207</v>
      </c>
      <c r="C234" s="6" t="s">
        <v>20</v>
      </c>
      <c r="D234" s="2">
        <v>12</v>
      </c>
    </row>
    <row r="235" spans="1:4" ht="12.75">
      <c r="A235" s="2">
        <v>8</v>
      </c>
      <c r="B235" s="8" t="s">
        <v>273</v>
      </c>
      <c r="C235" s="2" t="s">
        <v>202</v>
      </c>
      <c r="D235" s="2">
        <v>1805</v>
      </c>
    </row>
    <row r="236" spans="1:4" ht="12.75">
      <c r="A236" s="2"/>
      <c r="B236" s="20" t="s">
        <v>208</v>
      </c>
      <c r="C236" s="2"/>
      <c r="D236" s="2"/>
    </row>
    <row r="237" spans="1:4" ht="12.75">
      <c r="A237" s="2">
        <v>1</v>
      </c>
      <c r="B237" s="8" t="s">
        <v>274</v>
      </c>
      <c r="C237" s="2" t="s">
        <v>20</v>
      </c>
      <c r="D237" s="2">
        <f>ROUND(1352*1.18,0)</f>
        <v>1595</v>
      </c>
    </row>
    <row r="238" spans="1:4" ht="12.75">
      <c r="A238" s="2">
        <v>2</v>
      </c>
      <c r="B238" s="8" t="s">
        <v>275</v>
      </c>
      <c r="C238" s="2" t="s">
        <v>20</v>
      </c>
      <c r="D238" s="2">
        <v>2800</v>
      </c>
    </row>
    <row r="239" spans="1:4" ht="12.75">
      <c r="A239" s="2"/>
      <c r="B239" s="2"/>
      <c r="C239" s="2"/>
      <c r="D239" s="2"/>
    </row>
    <row r="240" spans="1:4" ht="12.75">
      <c r="A240" s="2">
        <v>1</v>
      </c>
      <c r="B240" s="2" t="s">
        <v>209</v>
      </c>
      <c r="C240" s="2" t="s">
        <v>20</v>
      </c>
      <c r="D240" s="2">
        <f>ROUND(6259*1.18,0)</f>
        <v>7386</v>
      </c>
    </row>
    <row r="241" spans="1:4" ht="12.75">
      <c r="A241" s="2"/>
      <c r="B241" s="2"/>
      <c r="C241" s="2"/>
      <c r="D241" s="2"/>
    </row>
    <row r="242" spans="1:4" ht="12.75">
      <c r="A242" s="2">
        <v>1</v>
      </c>
      <c r="B242" s="2" t="s">
        <v>276</v>
      </c>
      <c r="C242" s="2" t="s">
        <v>20</v>
      </c>
      <c r="D242" s="2">
        <f>ROUND(3326*1.18,0)</f>
        <v>3925</v>
      </c>
    </row>
    <row r="243" spans="1:4" ht="12.75">
      <c r="A243" s="2"/>
      <c r="B243" s="20" t="s">
        <v>210</v>
      </c>
      <c r="C243" s="2"/>
      <c r="D243" s="2"/>
    </row>
    <row r="244" spans="1:4" ht="12.75">
      <c r="A244" s="6">
        <v>1</v>
      </c>
      <c r="B244" s="9" t="s">
        <v>211</v>
      </c>
      <c r="C244" s="6" t="s">
        <v>20</v>
      </c>
      <c r="D244" s="6">
        <f>ROUND(735*1.18,0)</f>
        <v>867</v>
      </c>
    </row>
    <row r="245" spans="1:4" ht="12.75">
      <c r="A245" s="6">
        <v>2</v>
      </c>
      <c r="B245" s="9" t="s">
        <v>212</v>
      </c>
      <c r="C245" s="6" t="s">
        <v>20</v>
      </c>
      <c r="D245" s="6">
        <f>ROUND(1449*1.18,0)</f>
        <v>1710</v>
      </c>
    </row>
    <row r="246" spans="1:4" ht="12.75">
      <c r="A246" s="6">
        <v>3</v>
      </c>
      <c r="B246" s="9" t="s">
        <v>277</v>
      </c>
      <c r="C246" s="6" t="s">
        <v>20</v>
      </c>
      <c r="D246" s="6">
        <f>ROUND(3754*1.18,0)</f>
        <v>4430</v>
      </c>
    </row>
    <row r="247" spans="1:4" ht="12.75">
      <c r="A247" s="6">
        <v>4</v>
      </c>
      <c r="B247" s="9" t="s">
        <v>213</v>
      </c>
      <c r="C247" s="6" t="s">
        <v>20</v>
      </c>
      <c r="D247" s="6">
        <f>ROUND(27*1.18,0)</f>
        <v>32</v>
      </c>
    </row>
    <row r="248" spans="1:4" ht="18">
      <c r="A248" s="26"/>
      <c r="B248" s="27" t="s">
        <v>268</v>
      </c>
      <c r="C248" s="6"/>
      <c r="D248" s="6"/>
    </row>
    <row r="249" spans="2:4" ht="12.75">
      <c r="B249" s="2" t="s">
        <v>217</v>
      </c>
      <c r="C249" s="2" t="s">
        <v>218</v>
      </c>
      <c r="D249" s="2" t="s">
        <v>269</v>
      </c>
    </row>
    <row r="250" spans="2:4" ht="12.75">
      <c r="B250" s="22" t="s">
        <v>219</v>
      </c>
      <c r="C250" s="23"/>
      <c r="D250" s="24"/>
    </row>
    <row r="251" spans="2:4" ht="12.75">
      <c r="B251" s="2" t="s">
        <v>220</v>
      </c>
      <c r="C251" s="2">
        <f>(1+0.5)*2-1+5+2</f>
        <v>9</v>
      </c>
      <c r="D251" s="2">
        <f>ROUND(1225*1.12,0)</f>
        <v>1372</v>
      </c>
    </row>
    <row r="252" spans="2:4" ht="12.75">
      <c r="B252" s="9" t="s">
        <v>221</v>
      </c>
      <c r="C252" s="2">
        <f>(1+0.5)*3-1+5+2</f>
        <v>10.5</v>
      </c>
      <c r="D252" s="2">
        <f>ROUND(1309*1.12,0)</f>
        <v>1466</v>
      </c>
    </row>
    <row r="253" spans="2:4" ht="12.75">
      <c r="B253" s="9" t="s">
        <v>222</v>
      </c>
      <c r="C253" s="2">
        <f>(1+0.5)*4-1+5+2</f>
        <v>12</v>
      </c>
      <c r="D253" s="9">
        <f>ROUND(1485*1.12,0)</f>
        <v>1663</v>
      </c>
    </row>
    <row r="254" spans="2:4" ht="12.75">
      <c r="B254" s="8" t="s">
        <v>223</v>
      </c>
      <c r="C254" s="2">
        <f>(1+0.5)*5-1+5+2</f>
        <v>13.5</v>
      </c>
      <c r="D254" s="8">
        <f>ROUND(1639*1.12,0)</f>
        <v>1836</v>
      </c>
    </row>
    <row r="255" spans="2:4" ht="12.75">
      <c r="B255" s="8" t="s">
        <v>224</v>
      </c>
      <c r="C255" s="2">
        <f>(1+0.5)*6-1+5+2</f>
        <v>15</v>
      </c>
      <c r="D255" s="8">
        <f>ROUND(1716*1.12,0)</f>
        <v>1922</v>
      </c>
    </row>
    <row r="256" spans="2:4" ht="12.75">
      <c r="B256" s="8" t="s">
        <v>225</v>
      </c>
      <c r="C256" s="2">
        <f>(1+0.5)*7-1+5+2</f>
        <v>16.5</v>
      </c>
      <c r="D256" s="8">
        <f>ROUND(1826*1.12,0)</f>
        <v>2045</v>
      </c>
    </row>
    <row r="257" spans="2:4" ht="12.75">
      <c r="B257" s="25" t="s">
        <v>226</v>
      </c>
      <c r="C257" s="23"/>
      <c r="D257" s="24"/>
    </row>
    <row r="258" spans="2:4" ht="12.75">
      <c r="B258" s="8" t="s">
        <v>227</v>
      </c>
      <c r="C258" s="2">
        <f>(1+0.5)*2-1+6+2</f>
        <v>10</v>
      </c>
      <c r="D258" s="2">
        <f>ROUND(1370*1.12,0)</f>
        <v>1534</v>
      </c>
    </row>
    <row r="259" spans="2:4" ht="12.75">
      <c r="B259" s="8" t="s">
        <v>228</v>
      </c>
      <c r="C259" s="2">
        <f>(1+0.5)*3-1+6+2</f>
        <v>11.5</v>
      </c>
      <c r="D259" s="2">
        <f>ROUND(1441*1.12,0)</f>
        <v>1614</v>
      </c>
    </row>
    <row r="260" spans="2:4" ht="12.75">
      <c r="B260" s="8" t="s">
        <v>229</v>
      </c>
      <c r="C260" s="2">
        <f>(1+0.5)*4-1+6+2</f>
        <v>13</v>
      </c>
      <c r="D260" s="2">
        <f>ROUND(1672*1.12,0)</f>
        <v>1873</v>
      </c>
    </row>
    <row r="261" spans="2:4" ht="12.75">
      <c r="B261" s="8" t="s">
        <v>230</v>
      </c>
      <c r="C261" s="2">
        <f>(1+0.5)*5-1+6+2</f>
        <v>14.5</v>
      </c>
      <c r="D261" s="2">
        <f>ROUND(1730*1.12,0)</f>
        <v>1938</v>
      </c>
    </row>
    <row r="262" spans="2:4" ht="12.75">
      <c r="B262" s="8" t="s">
        <v>231</v>
      </c>
      <c r="C262" s="2">
        <f>(1+0.5)*6-1+6+2</f>
        <v>16</v>
      </c>
      <c r="D262" s="2">
        <f>ROUND(1814*1.12*1.18,0)</f>
        <v>2397</v>
      </c>
    </row>
    <row r="263" spans="2:4" ht="12.75">
      <c r="B263" s="8" t="s">
        <v>232</v>
      </c>
      <c r="C263" s="2">
        <f>(1+0.5)*7-1+6+2</f>
        <v>17.5</v>
      </c>
      <c r="D263" s="2">
        <f>ROUND(1881*1.12,0)</f>
        <v>2107</v>
      </c>
    </row>
    <row r="264" spans="2:4" ht="12.75">
      <c r="B264" s="25" t="s">
        <v>233</v>
      </c>
      <c r="C264" s="23"/>
      <c r="D264" s="24"/>
    </row>
    <row r="265" spans="2:4" ht="12.75">
      <c r="B265" s="8" t="s">
        <v>234</v>
      </c>
      <c r="C265" s="2">
        <f>(1+0.5)*2-1+4.5+3.5</f>
        <v>10</v>
      </c>
      <c r="D265" s="2">
        <f>ROUND(2145*1.12,0)</f>
        <v>2402</v>
      </c>
    </row>
    <row r="266" spans="2:4" ht="12.75">
      <c r="B266" s="8" t="s">
        <v>235</v>
      </c>
      <c r="C266" s="2">
        <f>(1+0.5)*3-1+4.5+3.5</f>
        <v>11.5</v>
      </c>
      <c r="D266" s="2">
        <f>ROUND(2310*1.12,0)</f>
        <v>2587</v>
      </c>
    </row>
    <row r="267" spans="2:4" ht="12.75">
      <c r="B267" s="8" t="s">
        <v>236</v>
      </c>
      <c r="C267" s="2">
        <f>(1+0.5)*4-1+4.5+3.5</f>
        <v>13</v>
      </c>
      <c r="D267" s="2">
        <f>ROUND(2475*1.12,0)</f>
        <v>2772</v>
      </c>
    </row>
    <row r="268" spans="2:4" ht="12.75">
      <c r="B268" s="8" t="s">
        <v>237</v>
      </c>
      <c r="C268" s="2">
        <f>(1+0.5)*5-1+4.5+3.5</f>
        <v>14.5</v>
      </c>
      <c r="D268" s="2">
        <f>ROUND(3135*1.12,0)</f>
        <v>3511</v>
      </c>
    </row>
    <row r="269" spans="2:4" ht="12.75">
      <c r="B269" s="8" t="s">
        <v>238</v>
      </c>
      <c r="C269" s="2">
        <f>(1+0.5)*6-1+4.5+3.5</f>
        <v>16</v>
      </c>
      <c r="D269" s="2">
        <f>ROUND(3586*1.12,0)</f>
        <v>4016</v>
      </c>
    </row>
    <row r="270" spans="2:4" ht="12.75">
      <c r="B270" s="8" t="s">
        <v>239</v>
      </c>
      <c r="C270" s="2">
        <f>(1+0.5)*7-1+4.5+3.5</f>
        <v>17.5</v>
      </c>
      <c r="D270" s="2">
        <f>ROUND(3927*1.12,0)</f>
        <v>4398</v>
      </c>
    </row>
    <row r="271" spans="2:4" ht="12.75">
      <c r="B271" s="25" t="s">
        <v>240</v>
      </c>
      <c r="C271" s="23"/>
      <c r="D271" s="24"/>
    </row>
    <row r="272" spans="2:4" ht="12.75">
      <c r="B272" s="8" t="s">
        <v>241</v>
      </c>
      <c r="C272" s="2">
        <f>(1+0.5)*2-1+2+0</f>
        <v>4</v>
      </c>
      <c r="D272" s="2">
        <f>ROUND(715*1.12,0)</f>
        <v>801</v>
      </c>
    </row>
    <row r="273" spans="2:4" ht="12.75">
      <c r="B273" s="8" t="s">
        <v>242</v>
      </c>
      <c r="C273" s="2">
        <f>(1+0.5)*3-1+2+0</f>
        <v>5.5</v>
      </c>
      <c r="D273" s="2">
        <f>ROUND(891*1.12,0)</f>
        <v>998</v>
      </c>
    </row>
    <row r="274" spans="2:4" ht="12.75">
      <c r="B274" s="8" t="s">
        <v>243</v>
      </c>
      <c r="C274" s="2">
        <f>(1+0.5)*4-1+2+0</f>
        <v>7</v>
      </c>
      <c r="D274" s="2">
        <f>ROUND(1089*1.12,0)</f>
        <v>1220</v>
      </c>
    </row>
    <row r="275" spans="2:4" ht="12.75">
      <c r="B275" s="8" t="s">
        <v>244</v>
      </c>
      <c r="C275" s="2">
        <f>(1+0.5)*5-1+2+0</f>
        <v>8.5</v>
      </c>
      <c r="D275" s="2">
        <f>ROUND(1161*1.12,0)</f>
        <v>1300</v>
      </c>
    </row>
    <row r="276" spans="2:4" ht="12.75">
      <c r="B276" s="8" t="s">
        <v>245</v>
      </c>
      <c r="C276" s="2">
        <f>(1+0.5)*6-1+2+0</f>
        <v>10</v>
      </c>
      <c r="D276" s="2">
        <f>ROUND(1370*1.12,0)</f>
        <v>1534</v>
      </c>
    </row>
    <row r="277" spans="2:4" ht="12.75">
      <c r="B277" s="8" t="s">
        <v>246</v>
      </c>
      <c r="C277" s="2">
        <f>(1+0.5)*7-1+2+0</f>
        <v>11.5</v>
      </c>
      <c r="D277" s="2">
        <f>ROUND(1634*1.12,0)</f>
        <v>1830</v>
      </c>
    </row>
    <row r="278" spans="2:4" ht="12.75">
      <c r="B278" s="25" t="s">
        <v>247</v>
      </c>
      <c r="C278" s="23"/>
      <c r="D278" s="24"/>
    </row>
    <row r="279" spans="2:4" ht="12.75">
      <c r="B279" s="8" t="s">
        <v>248</v>
      </c>
      <c r="C279" s="2">
        <f>(1+0.5)*2-1+3+1</f>
        <v>6</v>
      </c>
      <c r="D279" s="2">
        <f>ROUND(825*1.12,0)</f>
        <v>924</v>
      </c>
    </row>
    <row r="280" spans="2:4" ht="12.75">
      <c r="B280" s="8" t="s">
        <v>249</v>
      </c>
      <c r="C280" s="2">
        <f>(1+0.5)*3-1+3+1</f>
        <v>7.5</v>
      </c>
      <c r="D280" s="2">
        <f>ROUND(1062*1.12,0)</f>
        <v>1189</v>
      </c>
    </row>
    <row r="281" spans="2:4" ht="12.75">
      <c r="B281" s="8" t="s">
        <v>250</v>
      </c>
      <c r="C281" s="2">
        <f>(1+0.5)*4-1+3+1</f>
        <v>9</v>
      </c>
      <c r="D281" s="2">
        <f>ROUND(1186*1.12,0)</f>
        <v>1328</v>
      </c>
    </row>
    <row r="282" spans="2:4" ht="12.75">
      <c r="B282" s="8" t="s">
        <v>251</v>
      </c>
      <c r="C282" s="2">
        <f>(1+0.5)*5-1+3+1</f>
        <v>10.5</v>
      </c>
      <c r="D282" s="2">
        <f>ROUND(1286*1.12,0)</f>
        <v>1440</v>
      </c>
    </row>
    <row r="283" spans="2:4" ht="12.75">
      <c r="B283" s="8" t="s">
        <v>252</v>
      </c>
      <c r="C283" s="2">
        <f>(1+0.5)*6-1+3+1</f>
        <v>12</v>
      </c>
      <c r="D283" s="2">
        <f>ROUND(1452*1.12,0)</f>
        <v>1626</v>
      </c>
    </row>
    <row r="284" spans="2:4" ht="12.75">
      <c r="B284" s="8" t="s">
        <v>253</v>
      </c>
      <c r="C284" s="2">
        <f>(1+0.5)*7-1+3+1</f>
        <v>13.5</v>
      </c>
      <c r="D284" s="2">
        <f>ROUND(1632*1.12,0)</f>
        <v>1828</v>
      </c>
    </row>
    <row r="285" spans="2:4" ht="12.75">
      <c r="B285" s="25" t="s">
        <v>254</v>
      </c>
      <c r="C285" s="23"/>
      <c r="D285" s="24"/>
    </row>
    <row r="286" spans="2:4" ht="12.75">
      <c r="B286" s="8" t="s">
        <v>255</v>
      </c>
      <c r="C286" s="2">
        <f>(1+0.5)*2-1+3+1</f>
        <v>6</v>
      </c>
      <c r="D286" s="2">
        <f>ROUND(1284*1.12,0)</f>
        <v>1438</v>
      </c>
    </row>
    <row r="287" spans="2:4" ht="12.75">
      <c r="B287" s="8" t="s">
        <v>256</v>
      </c>
      <c r="C287" s="2">
        <f>(1+0.5)*3-1+3+1</f>
        <v>7.5</v>
      </c>
      <c r="D287" s="2">
        <f>ROUND(1441*1.12,0)</f>
        <v>1614</v>
      </c>
    </row>
    <row r="288" spans="2:4" ht="12.75">
      <c r="B288" s="8" t="s">
        <v>257</v>
      </c>
      <c r="C288" s="2">
        <f>(1+0.5)*4-1+3+1</f>
        <v>9</v>
      </c>
      <c r="D288" s="2">
        <f>ROUND(1614*1.12,0)</f>
        <v>1808</v>
      </c>
    </row>
    <row r="289" spans="2:4" ht="12.75">
      <c r="B289" s="8" t="s">
        <v>258</v>
      </c>
      <c r="C289" s="2">
        <f>(1+0.5)*5-1+3+1</f>
        <v>10.5</v>
      </c>
      <c r="D289" s="2">
        <f>ROUND(1856*1.12,0)</f>
        <v>2079</v>
      </c>
    </row>
    <row r="290" spans="2:4" ht="12.75">
      <c r="B290" s="8" t="s">
        <v>259</v>
      </c>
      <c r="C290" s="2">
        <f>(1+0.5)*6-1+3+1</f>
        <v>12</v>
      </c>
      <c r="D290" s="2">
        <f>ROUND(1978*1.12,0)</f>
        <v>2215</v>
      </c>
    </row>
    <row r="291" spans="2:4" ht="12.75">
      <c r="B291" s="8" t="s">
        <v>260</v>
      </c>
      <c r="C291" s="2">
        <f>(1+0.5)*7-1+3+1</f>
        <v>13.5</v>
      </c>
      <c r="D291" s="2">
        <f>ROUND(2140*1.12,0)</f>
        <v>2397</v>
      </c>
    </row>
    <row r="292" spans="2:4" ht="12.75">
      <c r="B292" s="25" t="s">
        <v>261</v>
      </c>
      <c r="C292" s="23"/>
      <c r="D292" s="24"/>
    </row>
    <row r="293" spans="2:4" ht="12.75">
      <c r="B293" s="8" t="s">
        <v>262</v>
      </c>
      <c r="C293" s="2">
        <f>(1+0.5)*2-1+2+0</f>
        <v>4</v>
      </c>
      <c r="D293" s="2">
        <f>ROUND(1040*1.12,0)</f>
        <v>1165</v>
      </c>
    </row>
    <row r="294" spans="2:4" ht="12.75">
      <c r="B294" s="8" t="s">
        <v>263</v>
      </c>
      <c r="C294" s="2">
        <f>(1+0.5)*3-1+2+0</f>
        <v>5.5</v>
      </c>
      <c r="D294" s="2">
        <f>ROUND(1184*1.12,0)</f>
        <v>1326</v>
      </c>
    </row>
    <row r="295" spans="2:4" ht="12.75">
      <c r="B295" s="8" t="s">
        <v>264</v>
      </c>
      <c r="C295" s="2">
        <f>(1+0.5)*4-1+2+0</f>
        <v>7</v>
      </c>
      <c r="D295" s="2">
        <f>ROUND(1306*1.12,0)</f>
        <v>1463</v>
      </c>
    </row>
    <row r="296" spans="2:4" ht="12.75">
      <c r="B296" s="8" t="s">
        <v>265</v>
      </c>
      <c r="C296" s="2">
        <f>(1+0.5)*5-1+2+0</f>
        <v>8.5</v>
      </c>
      <c r="D296" s="2">
        <f>ROUND(1572*1.12,0)</f>
        <v>1761</v>
      </c>
    </row>
    <row r="297" spans="2:4" ht="12.75">
      <c r="B297" s="8" t="s">
        <v>266</v>
      </c>
      <c r="C297" s="2">
        <f>(1+0.5)*6-1+2+0</f>
        <v>10</v>
      </c>
      <c r="D297" s="2">
        <f>ROUND(1846*1.12,0)</f>
        <v>2068</v>
      </c>
    </row>
    <row r="298" spans="2:4" ht="12.75">
      <c r="B298" s="8" t="s">
        <v>267</v>
      </c>
      <c r="C298" s="2">
        <f>(1+0.5)*7-1+2+0</f>
        <v>11.5</v>
      </c>
      <c r="D298" s="2">
        <f>ROUND(1968*1.12,0)</f>
        <v>2204</v>
      </c>
    </row>
    <row r="299" spans="2:4" ht="18">
      <c r="B299" s="5" t="s">
        <v>507</v>
      </c>
      <c r="C299" s="42"/>
      <c r="D299" s="42"/>
    </row>
    <row r="300" spans="2:4" ht="12.75">
      <c r="B300" s="34" t="s">
        <v>217</v>
      </c>
      <c r="C300" s="43" t="s">
        <v>519</v>
      </c>
      <c r="D300" s="36" t="s">
        <v>517</v>
      </c>
    </row>
    <row r="301" spans="2:4" ht="12.75">
      <c r="B301" s="46"/>
      <c r="C301" s="44" t="s">
        <v>518</v>
      </c>
      <c r="D301" s="35" t="s">
        <v>516</v>
      </c>
    </row>
    <row r="302" spans="2:4" ht="12.75">
      <c r="B302" s="45" t="s">
        <v>508</v>
      </c>
      <c r="C302" s="35">
        <v>125</v>
      </c>
      <c r="D302" s="35">
        <v>148</v>
      </c>
    </row>
    <row r="303" spans="2:4" ht="12.75">
      <c r="B303" s="9" t="s">
        <v>509</v>
      </c>
      <c r="C303" s="2">
        <v>140</v>
      </c>
      <c r="D303" s="2">
        <v>166</v>
      </c>
    </row>
    <row r="304" spans="2:4" ht="12.75">
      <c r="B304" s="9" t="s">
        <v>510</v>
      </c>
      <c r="C304" s="2">
        <v>150</v>
      </c>
      <c r="D304" s="2">
        <v>178</v>
      </c>
    </row>
    <row r="305" spans="2:4" ht="12.75">
      <c r="B305" s="9" t="s">
        <v>511</v>
      </c>
      <c r="C305" s="2">
        <v>170</v>
      </c>
      <c r="D305" s="2">
        <v>202</v>
      </c>
    </row>
    <row r="306" spans="2:4" ht="12.75">
      <c r="B306" s="9" t="s">
        <v>512</v>
      </c>
      <c r="C306" s="2">
        <v>175</v>
      </c>
      <c r="D306" s="2">
        <v>208</v>
      </c>
    </row>
    <row r="307" spans="2:4" ht="12.75">
      <c r="B307" s="9" t="s">
        <v>513</v>
      </c>
      <c r="C307" s="2">
        <v>200</v>
      </c>
      <c r="D307" s="2">
        <v>237</v>
      </c>
    </row>
    <row r="308" spans="2:4" ht="12.75">
      <c r="B308" s="9" t="s">
        <v>514</v>
      </c>
      <c r="C308" s="2">
        <v>250</v>
      </c>
      <c r="D308" s="2">
        <v>297</v>
      </c>
    </row>
    <row r="309" spans="2:4" ht="12.75">
      <c r="B309" s="9" t="s">
        <v>515</v>
      </c>
      <c r="C309" s="2">
        <v>300</v>
      </c>
      <c r="D309" s="2">
        <v>356</v>
      </c>
    </row>
    <row r="310" ht="12.75">
      <c r="B310" s="4" t="s">
        <v>278</v>
      </c>
    </row>
    <row r="311" spans="1:4" ht="12.75">
      <c r="A311" s="6" t="s">
        <v>279</v>
      </c>
      <c r="B311" s="6" t="s">
        <v>280</v>
      </c>
      <c r="C311" s="6" t="s">
        <v>281</v>
      </c>
      <c r="D311" s="6" t="s">
        <v>282</v>
      </c>
    </row>
    <row r="312" spans="1:4" ht="12.75">
      <c r="A312" s="2">
        <v>1</v>
      </c>
      <c r="B312" s="6" t="s">
        <v>387</v>
      </c>
      <c r="C312" s="6" t="s">
        <v>20</v>
      </c>
      <c r="D312" s="28">
        <f>ROUND(76.8*1.09*1.12*1.18,1)</f>
        <v>110.6</v>
      </c>
    </row>
    <row r="313" spans="1:4" ht="12.75">
      <c r="A313" s="2">
        <v>2</v>
      </c>
      <c r="B313" s="15" t="s">
        <v>283</v>
      </c>
      <c r="C313" s="6" t="s">
        <v>20</v>
      </c>
      <c r="D313" s="28">
        <v>171</v>
      </c>
    </row>
    <row r="314" spans="1:4" ht="12.75">
      <c r="A314" s="2">
        <v>3</v>
      </c>
      <c r="B314" s="18" t="s">
        <v>284</v>
      </c>
      <c r="C314" s="6" t="s">
        <v>20</v>
      </c>
      <c r="D314" s="28">
        <v>260</v>
      </c>
    </row>
    <row r="315" spans="1:4" ht="12.75">
      <c r="A315" s="2">
        <v>4</v>
      </c>
      <c r="B315" s="6" t="s">
        <v>553</v>
      </c>
      <c r="C315" s="6" t="s">
        <v>20</v>
      </c>
      <c r="D315" s="29">
        <f>ROUND(76.5*1.09*1.12*1.18,0)</f>
        <v>110</v>
      </c>
    </row>
    <row r="316" spans="1:4" ht="12.75">
      <c r="A316" s="2">
        <v>5</v>
      </c>
      <c r="B316" s="6" t="s">
        <v>554</v>
      </c>
      <c r="C316" s="6" t="s">
        <v>20</v>
      </c>
      <c r="D316" s="14">
        <v>19</v>
      </c>
    </row>
    <row r="317" spans="1:4" ht="12.75">
      <c r="A317" s="2">
        <v>6</v>
      </c>
      <c r="B317" s="6" t="s">
        <v>285</v>
      </c>
      <c r="C317" s="6" t="s">
        <v>20</v>
      </c>
      <c r="D317" s="29">
        <v>67.5</v>
      </c>
    </row>
    <row r="318" spans="1:4" ht="12.75">
      <c r="A318" s="2">
        <v>7</v>
      </c>
      <c r="B318" s="6" t="s">
        <v>286</v>
      </c>
      <c r="C318" s="6" t="s">
        <v>20</v>
      </c>
      <c r="D318" s="29">
        <v>73.3</v>
      </c>
    </row>
    <row r="319" spans="1:4" ht="12.75">
      <c r="A319" s="2">
        <v>8</v>
      </c>
      <c r="B319" s="6" t="s">
        <v>287</v>
      </c>
      <c r="C319" s="6" t="s">
        <v>20</v>
      </c>
      <c r="D319" s="29">
        <v>80.6</v>
      </c>
    </row>
    <row r="320" spans="1:4" ht="12.75">
      <c r="A320" s="2">
        <v>9</v>
      </c>
      <c r="B320" s="6" t="s">
        <v>288</v>
      </c>
      <c r="C320" s="6" t="s">
        <v>20</v>
      </c>
      <c r="D320" s="29">
        <v>91.7</v>
      </c>
    </row>
    <row r="321" spans="1:4" ht="14.25" customHeight="1">
      <c r="A321" s="2">
        <v>10</v>
      </c>
      <c r="B321" s="6" t="s">
        <v>336</v>
      </c>
      <c r="C321" s="6" t="s">
        <v>20</v>
      </c>
      <c r="D321" s="29">
        <v>114</v>
      </c>
    </row>
    <row r="322" spans="1:4" ht="12.75">
      <c r="A322" s="2">
        <v>11</v>
      </c>
      <c r="B322" s="6" t="s">
        <v>353</v>
      </c>
      <c r="C322" s="6" t="s">
        <v>20</v>
      </c>
      <c r="D322" s="29">
        <f>ROUND(75*1.09*1.12*1.18,1)</f>
        <v>108</v>
      </c>
    </row>
    <row r="323" spans="1:4" ht="12.75">
      <c r="A323" s="2">
        <v>12</v>
      </c>
      <c r="B323" s="6" t="s">
        <v>354</v>
      </c>
      <c r="C323" s="6" t="s">
        <v>20</v>
      </c>
      <c r="D323" s="29">
        <f>ROUND(47*1.09*1.12*1.18,1)</f>
        <v>67.7</v>
      </c>
    </row>
    <row r="324" spans="1:4" ht="12.75">
      <c r="A324" s="2">
        <v>13</v>
      </c>
      <c r="B324" s="6" t="s">
        <v>355</v>
      </c>
      <c r="C324" s="6" t="s">
        <v>20</v>
      </c>
      <c r="D324" s="29">
        <f>ROUND(71.7*1.09*1.12*1.18,1)</f>
        <v>103.3</v>
      </c>
    </row>
    <row r="325" spans="1:4" ht="12.75">
      <c r="A325" s="2">
        <v>14</v>
      </c>
      <c r="B325" s="6" t="s">
        <v>356</v>
      </c>
      <c r="C325" s="6" t="s">
        <v>20</v>
      </c>
      <c r="D325" s="29">
        <f>ROUND(33.4*1.09*1.12*1.18,1)</f>
        <v>48.1</v>
      </c>
    </row>
    <row r="326" spans="1:4" ht="12.75">
      <c r="A326" s="2">
        <v>15</v>
      </c>
      <c r="B326" s="6" t="s">
        <v>357</v>
      </c>
      <c r="C326" s="6" t="s">
        <v>20</v>
      </c>
      <c r="D326" s="29">
        <f>ROUND(30*1.09*1.12*1.18,1)</f>
        <v>43.2</v>
      </c>
    </row>
    <row r="327" spans="1:4" ht="12.75">
      <c r="A327" s="2">
        <v>16</v>
      </c>
      <c r="B327" s="6" t="s">
        <v>358</v>
      </c>
      <c r="C327" s="6" t="s">
        <v>20</v>
      </c>
      <c r="D327" s="29">
        <f>ROUND(60.5*1.09*1.12*1.18,1)</f>
        <v>87.2</v>
      </c>
    </row>
    <row r="328" spans="1:4" ht="12.75">
      <c r="A328" s="2">
        <v>17</v>
      </c>
      <c r="B328" s="6" t="s">
        <v>359</v>
      </c>
      <c r="C328" s="6" t="s">
        <v>20</v>
      </c>
      <c r="D328" s="29">
        <f>ROUND(14.2*1.09*1.12*1.18,1)</f>
        <v>20.5</v>
      </c>
    </row>
    <row r="329" spans="1:4" ht="12.75">
      <c r="A329" s="2">
        <v>18</v>
      </c>
      <c r="B329" s="6" t="s">
        <v>360</v>
      </c>
      <c r="C329" s="6" t="s">
        <v>20</v>
      </c>
      <c r="D329" s="29">
        <f>ROUND(15*1.18,1)</f>
        <v>17.7</v>
      </c>
    </row>
    <row r="330" spans="1:4" ht="12.75">
      <c r="A330" s="2">
        <v>19</v>
      </c>
      <c r="B330" s="6" t="s">
        <v>361</v>
      </c>
      <c r="C330" s="6" t="s">
        <v>20</v>
      </c>
      <c r="D330" s="29">
        <f>ROUND(20*1.18,1)</f>
        <v>23.6</v>
      </c>
    </row>
    <row r="331" spans="1:4" ht="12.75">
      <c r="A331" s="2">
        <v>20</v>
      </c>
      <c r="B331" s="6" t="s">
        <v>362</v>
      </c>
      <c r="C331" s="6" t="s">
        <v>20</v>
      </c>
      <c r="D331" s="29">
        <v>137.5</v>
      </c>
    </row>
    <row r="332" spans="1:4" ht="12.75">
      <c r="A332" s="2">
        <v>21</v>
      </c>
      <c r="B332" s="6" t="s">
        <v>363</v>
      </c>
      <c r="C332" s="6" t="s">
        <v>432</v>
      </c>
      <c r="D332" s="30">
        <f>ROUND(69*1.09*1.12*1.18,0)</f>
        <v>99</v>
      </c>
    </row>
    <row r="333" spans="1:4" ht="12.75">
      <c r="A333" s="2">
        <v>22</v>
      </c>
      <c r="B333" s="6" t="s">
        <v>289</v>
      </c>
      <c r="C333" s="6" t="s">
        <v>20</v>
      </c>
      <c r="D333" s="29">
        <f>ROUND(24.6*1.09*1.12*1.18,1)</f>
        <v>35.4</v>
      </c>
    </row>
    <row r="334" spans="1:4" ht="12.75">
      <c r="A334" s="2">
        <v>23</v>
      </c>
      <c r="B334" s="6" t="s">
        <v>522</v>
      </c>
      <c r="C334" s="6" t="s">
        <v>20</v>
      </c>
      <c r="D334" s="29">
        <v>101</v>
      </c>
    </row>
    <row r="335" spans="1:4" ht="12.75">
      <c r="A335" s="2">
        <v>24</v>
      </c>
      <c r="B335" s="6" t="s">
        <v>523</v>
      </c>
      <c r="C335" s="6" t="s">
        <v>20</v>
      </c>
      <c r="D335" s="29">
        <v>135</v>
      </c>
    </row>
    <row r="336" spans="1:4" ht="12.75">
      <c r="A336" s="2">
        <v>25</v>
      </c>
      <c r="B336" s="6" t="s">
        <v>524</v>
      </c>
      <c r="C336" s="6" t="s">
        <v>20</v>
      </c>
      <c r="D336" s="29">
        <v>169</v>
      </c>
    </row>
    <row r="337" spans="1:4" ht="12.75">
      <c r="A337" s="2">
        <v>26</v>
      </c>
      <c r="B337" s="6" t="s">
        <v>525</v>
      </c>
      <c r="C337" s="6" t="s">
        <v>20</v>
      </c>
      <c r="D337" s="29">
        <v>203</v>
      </c>
    </row>
    <row r="338" spans="1:4" ht="12.75">
      <c r="A338" s="2">
        <v>27</v>
      </c>
      <c r="B338" s="6" t="s">
        <v>526</v>
      </c>
      <c r="C338" s="6" t="s">
        <v>20</v>
      </c>
      <c r="D338" s="29">
        <v>270</v>
      </c>
    </row>
    <row r="339" spans="1:4" ht="12.75">
      <c r="A339" s="2">
        <v>28</v>
      </c>
      <c r="B339" s="6" t="s">
        <v>527</v>
      </c>
      <c r="C339" s="6" t="s">
        <v>20</v>
      </c>
      <c r="D339" s="29">
        <v>338</v>
      </c>
    </row>
    <row r="340" spans="1:4" ht="12.75">
      <c r="A340" s="2">
        <v>29</v>
      </c>
      <c r="B340" s="6" t="s">
        <v>528</v>
      </c>
      <c r="C340" s="6" t="s">
        <v>20</v>
      </c>
      <c r="D340" s="29">
        <v>406</v>
      </c>
    </row>
    <row r="341" spans="1:4" ht="12.75">
      <c r="A341" s="2">
        <v>30</v>
      </c>
      <c r="B341" s="6" t="s">
        <v>531</v>
      </c>
      <c r="C341" s="6" t="s">
        <v>20</v>
      </c>
      <c r="D341" s="29">
        <v>50</v>
      </c>
    </row>
    <row r="342" spans="1:4" ht="12.75">
      <c r="A342" s="2">
        <v>31</v>
      </c>
      <c r="B342" s="6" t="s">
        <v>532</v>
      </c>
      <c r="C342" s="6" t="s">
        <v>20</v>
      </c>
      <c r="D342" s="29">
        <v>45</v>
      </c>
    </row>
    <row r="343" spans="1:4" ht="12.75">
      <c r="A343" s="2">
        <v>32</v>
      </c>
      <c r="B343" s="6" t="s">
        <v>350</v>
      </c>
      <c r="C343" s="6" t="s">
        <v>20</v>
      </c>
      <c r="D343" s="29">
        <f>ROUND(218*1.09*1.12*1.18,1)</f>
        <v>314</v>
      </c>
    </row>
    <row r="344" spans="1:4" ht="12.75">
      <c r="A344" s="2">
        <v>33</v>
      </c>
      <c r="B344" s="6" t="s">
        <v>393</v>
      </c>
      <c r="C344" s="2"/>
      <c r="D344" s="29"/>
    </row>
    <row r="345" spans="1:4" ht="15" customHeight="1">
      <c r="A345" s="2"/>
      <c r="B345" s="6" t="s">
        <v>364</v>
      </c>
      <c r="C345" s="6" t="s">
        <v>20</v>
      </c>
      <c r="D345" s="29">
        <f>ROUND(431*1.09*1.12*1.18,1)</f>
        <v>620.9</v>
      </c>
    </row>
    <row r="346" spans="1:4" ht="15" customHeight="1">
      <c r="A346" s="2"/>
      <c r="B346" s="6" t="s">
        <v>365</v>
      </c>
      <c r="C346" s="6" t="s">
        <v>20</v>
      </c>
      <c r="D346" s="29">
        <f>ROUND(443*1.09*1.12*1.18,1)</f>
        <v>638.2</v>
      </c>
    </row>
    <row r="347" spans="1:4" ht="15" customHeight="1">
      <c r="A347" s="2">
        <v>34</v>
      </c>
      <c r="B347" s="6" t="s">
        <v>529</v>
      </c>
      <c r="C347" s="6" t="s">
        <v>20</v>
      </c>
      <c r="D347" s="29">
        <v>52</v>
      </c>
    </row>
    <row r="348" spans="1:4" ht="15" customHeight="1">
      <c r="A348" s="2">
        <v>35</v>
      </c>
      <c r="B348" s="6" t="s">
        <v>530</v>
      </c>
      <c r="C348" s="6" t="s">
        <v>20</v>
      </c>
      <c r="D348" s="29">
        <v>72</v>
      </c>
    </row>
    <row r="349" spans="1:4" ht="12.75">
      <c r="A349" s="2">
        <v>36</v>
      </c>
      <c r="B349" s="6" t="s">
        <v>294</v>
      </c>
      <c r="C349" s="6" t="s">
        <v>20</v>
      </c>
      <c r="D349" s="29">
        <f>ROUND(27.6*1.09*1.12*1.18,1)</f>
        <v>39.8</v>
      </c>
    </row>
    <row r="350" spans="1:4" ht="12.75">
      <c r="A350" s="2">
        <v>37</v>
      </c>
      <c r="B350" s="6" t="s">
        <v>322</v>
      </c>
      <c r="C350" s="6" t="s">
        <v>20</v>
      </c>
      <c r="D350" s="29">
        <f>ROUND(18.5*1.09*1.12*1.18,1)</f>
        <v>26.7</v>
      </c>
    </row>
    <row r="351" spans="1:4" ht="12.75">
      <c r="A351" s="2">
        <v>38</v>
      </c>
      <c r="B351" s="6" t="s">
        <v>323</v>
      </c>
      <c r="C351" s="6" t="s">
        <v>20</v>
      </c>
      <c r="D351" s="29">
        <f>ROUND(21.4*1.09*1.12*1.18,1)</f>
        <v>30.8</v>
      </c>
    </row>
    <row r="352" spans="1:4" ht="12.75">
      <c r="A352" s="2">
        <v>39</v>
      </c>
      <c r="B352" s="6" t="s">
        <v>324</v>
      </c>
      <c r="C352" s="6" t="s">
        <v>20</v>
      </c>
      <c r="D352" s="29">
        <f>ROUND(21.4*1.09*1.12*1.18,1)</f>
        <v>30.8</v>
      </c>
    </row>
    <row r="353" spans="1:4" ht="12.75">
      <c r="A353" s="2">
        <v>40</v>
      </c>
      <c r="B353" s="6" t="s">
        <v>325</v>
      </c>
      <c r="C353" s="6" t="s">
        <v>20</v>
      </c>
      <c r="D353" s="29">
        <f>ROUND(23.3*1.09*1.12*1.18,1)</f>
        <v>33.6</v>
      </c>
    </row>
    <row r="354" spans="1:4" ht="12.75">
      <c r="A354" s="2">
        <v>41</v>
      </c>
      <c r="B354" s="6" t="s">
        <v>326</v>
      </c>
      <c r="C354" s="6" t="s">
        <v>20</v>
      </c>
      <c r="D354" s="29">
        <f>ROUND(23.6*1.09*1.12*1.18,1)</f>
        <v>34</v>
      </c>
    </row>
    <row r="355" spans="1:4" ht="12.75">
      <c r="A355" s="2">
        <v>42</v>
      </c>
      <c r="B355" s="6" t="s">
        <v>327</v>
      </c>
      <c r="C355" s="6" t="s">
        <v>20</v>
      </c>
      <c r="D355" s="29">
        <f>ROUND(24*1.09*1.12*1.18,1)</f>
        <v>34.6</v>
      </c>
    </row>
    <row r="356" spans="1:4" ht="12.75">
      <c r="A356" s="2">
        <v>43</v>
      </c>
      <c r="B356" s="6" t="s">
        <v>328</v>
      </c>
      <c r="C356" s="6" t="s">
        <v>20</v>
      </c>
      <c r="D356" s="29">
        <f>ROUND(24.7*1.09*1.12*1.18,1)</f>
        <v>35.6</v>
      </c>
    </row>
    <row r="357" spans="1:4" ht="12.75">
      <c r="A357" s="2">
        <v>44</v>
      </c>
      <c r="B357" s="6" t="s">
        <v>329</v>
      </c>
      <c r="C357" s="6" t="s">
        <v>20</v>
      </c>
      <c r="D357" s="29">
        <f>ROUND(28.3*1.09*1.12*1.18,1)</f>
        <v>40.8</v>
      </c>
    </row>
    <row r="358" spans="1:4" ht="12.75">
      <c r="A358" s="2">
        <v>45</v>
      </c>
      <c r="B358" s="6" t="s">
        <v>330</v>
      </c>
      <c r="C358" s="6" t="s">
        <v>20</v>
      </c>
      <c r="D358" s="29">
        <f>ROUND(26.5*1.09*1.12*1.18,1)</f>
        <v>38.2</v>
      </c>
    </row>
    <row r="359" spans="1:4" ht="12.75">
      <c r="A359" s="2">
        <v>46</v>
      </c>
      <c r="B359" s="6" t="s">
        <v>331</v>
      </c>
      <c r="C359" s="6" t="s">
        <v>20</v>
      </c>
      <c r="D359" s="29">
        <f>ROUND(27.5*1.09*1.12*1.18,1)</f>
        <v>39.6</v>
      </c>
    </row>
    <row r="360" spans="1:4" ht="12.75">
      <c r="A360" s="2">
        <v>47</v>
      </c>
      <c r="B360" s="6" t="s">
        <v>332</v>
      </c>
      <c r="C360" s="6" t="s">
        <v>20</v>
      </c>
      <c r="D360" s="29">
        <f>ROUND(28.3*1.09*1.12*1.18,1)</f>
        <v>40.8</v>
      </c>
    </row>
    <row r="361" spans="1:4" ht="12.75">
      <c r="A361" s="2">
        <v>48</v>
      </c>
      <c r="B361" s="6" t="s">
        <v>333</v>
      </c>
      <c r="C361" s="6" t="s">
        <v>20</v>
      </c>
      <c r="D361" s="29">
        <f>ROUND(54.6*1.09*1.12*1.18,1)</f>
        <v>78.7</v>
      </c>
    </row>
    <row r="362" spans="1:4" ht="12.75">
      <c r="A362" s="2">
        <v>49</v>
      </c>
      <c r="B362" s="6" t="s">
        <v>295</v>
      </c>
      <c r="C362" s="6" t="s">
        <v>20</v>
      </c>
      <c r="D362" s="29">
        <f>ROUND(58.6*1.09*1.12*1.18,1)</f>
        <v>84.4</v>
      </c>
    </row>
    <row r="363" spans="1:4" ht="12.75">
      <c r="A363" s="2">
        <v>50</v>
      </c>
      <c r="B363" s="6" t="s">
        <v>297</v>
      </c>
      <c r="C363" s="6" t="s">
        <v>20</v>
      </c>
      <c r="D363" s="29">
        <f>ROUND(49.8*1.09*1.12*1.18,1)</f>
        <v>71.7</v>
      </c>
    </row>
    <row r="364" spans="1:4" ht="12.75">
      <c r="A364" s="2">
        <v>51</v>
      </c>
      <c r="B364" s="6" t="s">
        <v>296</v>
      </c>
      <c r="C364" s="6" t="s">
        <v>20</v>
      </c>
      <c r="D364" s="29">
        <f>ROUND(17*1.09*1.12*1.18,1)</f>
        <v>24.5</v>
      </c>
    </row>
    <row r="365" spans="1:4" ht="12.75">
      <c r="A365" s="2">
        <v>52</v>
      </c>
      <c r="B365" s="6" t="s">
        <v>298</v>
      </c>
      <c r="C365" s="6" t="s">
        <v>20</v>
      </c>
      <c r="D365" s="29">
        <f>ROUND(78*1.09*1.12*1.18,1)</f>
        <v>112.4</v>
      </c>
    </row>
    <row r="366" spans="1:4" ht="12.75">
      <c r="A366" s="2">
        <v>53</v>
      </c>
      <c r="B366" s="6" t="s">
        <v>299</v>
      </c>
      <c r="C366" s="6" t="s">
        <v>20</v>
      </c>
      <c r="D366" s="29">
        <f>ROUND(58.2*1.09*1.12*1.18,1)</f>
        <v>83.8</v>
      </c>
    </row>
    <row r="367" spans="1:4" ht="12.75">
      <c r="A367" s="2">
        <v>54</v>
      </c>
      <c r="B367" s="6" t="s">
        <v>300</v>
      </c>
      <c r="C367" s="6" t="s">
        <v>20</v>
      </c>
      <c r="D367" s="29">
        <f>ROUND(62.8*1.09*1.12*1.18,1)</f>
        <v>90.5</v>
      </c>
    </row>
    <row r="368" spans="1:4" ht="12.75">
      <c r="A368" s="2">
        <v>55</v>
      </c>
      <c r="B368" s="6" t="s">
        <v>301</v>
      </c>
      <c r="C368" s="6" t="s">
        <v>20</v>
      </c>
      <c r="D368" s="29">
        <f>ROUND(66.2*1.09*1.12*1.18,1)</f>
        <v>95.4</v>
      </c>
    </row>
    <row r="369" spans="1:4" ht="12.75">
      <c r="A369" s="2">
        <v>56</v>
      </c>
      <c r="B369" s="6" t="s">
        <v>302</v>
      </c>
      <c r="C369" s="6" t="s">
        <v>20</v>
      </c>
      <c r="D369" s="29">
        <f>ROUND(72.9*1.09*1.12*1.18,1)</f>
        <v>105</v>
      </c>
    </row>
    <row r="370" spans="1:4" ht="12.75">
      <c r="A370" s="2">
        <v>57</v>
      </c>
      <c r="B370" s="6" t="s">
        <v>303</v>
      </c>
      <c r="C370" s="6" t="s">
        <v>20</v>
      </c>
      <c r="D370" s="29">
        <f>ROUND(71.2*1.09*1.12*1.18,1)</f>
        <v>102.6</v>
      </c>
    </row>
    <row r="371" spans="1:4" ht="12.75">
      <c r="A371" s="2">
        <v>58</v>
      </c>
      <c r="B371" s="6" t="s">
        <v>304</v>
      </c>
      <c r="C371" s="6" t="s">
        <v>20</v>
      </c>
      <c r="D371" s="29">
        <f>ROUND(72*1.09*1.12*1.18,1)</f>
        <v>103.7</v>
      </c>
    </row>
    <row r="372" spans="1:4" ht="12.75">
      <c r="A372" s="2">
        <v>59</v>
      </c>
      <c r="B372" s="6" t="s">
        <v>305</v>
      </c>
      <c r="C372" s="6" t="s">
        <v>20</v>
      </c>
      <c r="D372" s="29">
        <f>ROUND(80*1.09*1.12*1.18,1)</f>
        <v>115.2</v>
      </c>
    </row>
    <row r="373" spans="1:4" ht="12.75">
      <c r="A373" s="2">
        <v>60</v>
      </c>
      <c r="B373" s="6" t="s">
        <v>306</v>
      </c>
      <c r="C373" s="6" t="s">
        <v>20</v>
      </c>
      <c r="D373" s="29">
        <f>ROUND(81*1.09*1.12*1.18,1)</f>
        <v>116.7</v>
      </c>
    </row>
    <row r="374" spans="1:4" ht="12.75">
      <c r="A374" s="2">
        <v>61</v>
      </c>
      <c r="B374" s="6" t="s">
        <v>307</v>
      </c>
      <c r="C374" s="6" t="s">
        <v>20</v>
      </c>
      <c r="D374" s="29">
        <f>ROUND(81.8*1.09*1.12*1.18,1)</f>
        <v>117.8</v>
      </c>
    </row>
    <row r="375" spans="1:4" ht="12.75">
      <c r="A375" s="2">
        <v>62</v>
      </c>
      <c r="B375" s="6" t="s">
        <v>308</v>
      </c>
      <c r="C375" s="6" t="s">
        <v>20</v>
      </c>
      <c r="D375" s="29">
        <f>ROUND(82.6*1.09*1.12*1.18,1)</f>
        <v>119</v>
      </c>
    </row>
    <row r="376" spans="1:4" ht="12.75">
      <c r="A376" s="2">
        <v>63</v>
      </c>
      <c r="B376" s="6" t="s">
        <v>309</v>
      </c>
      <c r="C376" s="6" t="s">
        <v>20</v>
      </c>
      <c r="D376" s="29">
        <f>ROUND(91*1.09*1.12*1.18,1)</f>
        <v>131.1</v>
      </c>
    </row>
    <row r="377" spans="1:4" ht="12.75">
      <c r="A377" s="2">
        <v>64</v>
      </c>
      <c r="B377" s="6" t="s">
        <v>310</v>
      </c>
      <c r="C377" s="6" t="s">
        <v>20</v>
      </c>
      <c r="D377" s="29">
        <f>ROUND(99.5*1.09*1.12*1.18,1)</f>
        <v>143.3</v>
      </c>
    </row>
    <row r="378" spans="1:4" ht="12.75">
      <c r="A378" s="2">
        <v>65</v>
      </c>
      <c r="B378" s="6" t="s">
        <v>311</v>
      </c>
      <c r="C378" s="6" t="s">
        <v>20</v>
      </c>
      <c r="D378" s="29">
        <f>ROUND(107*1.09*1.12*1.18,1)</f>
        <v>154.1</v>
      </c>
    </row>
    <row r="379" spans="1:4" ht="12.75">
      <c r="A379" s="2">
        <v>66</v>
      </c>
      <c r="B379" s="6" t="s">
        <v>312</v>
      </c>
      <c r="C379" s="6" t="s">
        <v>20</v>
      </c>
      <c r="D379" s="29">
        <f>ROUND(94.3*1.09*1.12*1.18,1)</f>
        <v>135.8</v>
      </c>
    </row>
    <row r="380" spans="1:4" ht="12.75">
      <c r="A380" s="2">
        <v>67</v>
      </c>
      <c r="B380" s="6" t="s">
        <v>313</v>
      </c>
      <c r="C380" s="6" t="s">
        <v>20</v>
      </c>
      <c r="D380" s="29">
        <f>ROUND(94.3*1.09*1.12*1.18,1)</f>
        <v>135.8</v>
      </c>
    </row>
    <row r="381" spans="1:4" ht="12.75">
      <c r="A381" s="2">
        <v>68</v>
      </c>
      <c r="B381" s="6" t="s">
        <v>314</v>
      </c>
      <c r="C381" s="6" t="s">
        <v>20</v>
      </c>
      <c r="D381" s="29">
        <f>ROUND(96*1.09*1.12*1.18,1)</f>
        <v>138.3</v>
      </c>
    </row>
    <row r="382" spans="1:4" ht="12.75">
      <c r="A382" s="2">
        <v>69</v>
      </c>
      <c r="B382" s="6" t="s">
        <v>315</v>
      </c>
      <c r="C382" s="6" t="s">
        <v>20</v>
      </c>
      <c r="D382" s="29">
        <f>ROUND(109.2*1.09*1.12*1.18,1)</f>
        <v>157.3</v>
      </c>
    </row>
    <row r="383" spans="1:4" ht="12.75">
      <c r="A383" s="2">
        <v>70</v>
      </c>
      <c r="B383" s="6" t="s">
        <v>316</v>
      </c>
      <c r="C383" s="6" t="s">
        <v>20</v>
      </c>
      <c r="D383" s="29">
        <f>ROUND(111*1.09*1.12*1.18,1)</f>
        <v>159.9</v>
      </c>
    </row>
    <row r="384" spans="1:4" ht="12.75">
      <c r="A384" s="2">
        <v>71</v>
      </c>
      <c r="B384" s="6" t="s">
        <v>317</v>
      </c>
      <c r="C384" s="6" t="s">
        <v>20</v>
      </c>
      <c r="D384" s="29">
        <f>ROUND(97.5*1.09*1.12*1.18,1)</f>
        <v>140.5</v>
      </c>
    </row>
    <row r="385" spans="1:4" ht="12.75">
      <c r="A385" s="2">
        <v>72</v>
      </c>
      <c r="B385" s="6" t="s">
        <v>318</v>
      </c>
      <c r="C385" s="6" t="s">
        <v>20</v>
      </c>
      <c r="D385" s="29">
        <f>ROUND(115.7*1.09*1.12*1.18,1)</f>
        <v>166.7</v>
      </c>
    </row>
    <row r="386" spans="1:4" ht="12.75">
      <c r="A386" s="2">
        <v>73</v>
      </c>
      <c r="B386" s="6" t="s">
        <v>319</v>
      </c>
      <c r="C386" s="6" t="s">
        <v>20</v>
      </c>
      <c r="D386" s="29">
        <f>ROUND(133.3*1.09*1.12*1.18,1)</f>
        <v>192</v>
      </c>
    </row>
    <row r="387" spans="1:4" ht="12.75">
      <c r="A387" s="2">
        <v>74</v>
      </c>
      <c r="B387" s="6" t="s">
        <v>320</v>
      </c>
      <c r="C387" s="6" t="s">
        <v>20</v>
      </c>
      <c r="D387" s="29">
        <f>ROUND(230.7*1.09*1.12*1.18,1)</f>
        <v>332.3</v>
      </c>
    </row>
    <row r="388" spans="1:4" ht="12.75">
      <c r="A388" s="2">
        <v>75</v>
      </c>
      <c r="B388" s="6" t="s">
        <v>321</v>
      </c>
      <c r="C388" s="6" t="s">
        <v>20</v>
      </c>
      <c r="D388" s="29">
        <f>ROUND(281*1.09*1.12*1.18,1)</f>
        <v>404.8</v>
      </c>
    </row>
    <row r="389" spans="1:4" ht="12.75">
      <c r="A389" s="2">
        <v>76</v>
      </c>
      <c r="B389" s="6" t="s">
        <v>293</v>
      </c>
      <c r="C389" s="6" t="s">
        <v>20</v>
      </c>
      <c r="D389" s="29">
        <f>ROUND(14.6*1.09*1.12*1.18,1)</f>
        <v>21</v>
      </c>
    </row>
    <row r="390" spans="1:4" ht="12.75" customHeight="1">
      <c r="A390" s="2">
        <v>77</v>
      </c>
      <c r="B390" s="6" t="s">
        <v>366</v>
      </c>
      <c r="C390" s="6" t="s">
        <v>432</v>
      </c>
      <c r="D390" s="29">
        <f>ROUND(92*1.09*1.12*1.18,0)</f>
        <v>133</v>
      </c>
    </row>
    <row r="391" spans="1:4" ht="12.75" customHeight="1">
      <c r="A391" s="2">
        <v>78</v>
      </c>
      <c r="B391" s="6" t="s">
        <v>369</v>
      </c>
      <c r="C391" s="6" t="s">
        <v>432</v>
      </c>
      <c r="D391" s="29">
        <f>ROUND(125*1.09*1.12*1.18,0)</f>
        <v>180</v>
      </c>
    </row>
    <row r="392" spans="1:4" ht="12.75" customHeight="1">
      <c r="A392" s="2">
        <v>79</v>
      </c>
      <c r="B392" s="6" t="s">
        <v>370</v>
      </c>
      <c r="C392" s="6" t="s">
        <v>432</v>
      </c>
      <c r="D392" s="30">
        <f>ROUND(150*1.12*1.18,1)</f>
        <v>198.2</v>
      </c>
    </row>
    <row r="393" spans="1:4" ht="12.75" customHeight="1">
      <c r="A393" s="2">
        <v>80</v>
      </c>
      <c r="B393" s="6" t="s">
        <v>371</v>
      </c>
      <c r="C393" s="6" t="s">
        <v>432</v>
      </c>
      <c r="D393" s="29">
        <f>ROUND(115*1.12*1.18,0)</f>
        <v>152</v>
      </c>
    </row>
    <row r="394" spans="1:4" ht="12.75" customHeight="1">
      <c r="A394" s="2">
        <v>81</v>
      </c>
      <c r="B394" s="6" t="s">
        <v>391</v>
      </c>
      <c r="C394" s="6" t="s">
        <v>432</v>
      </c>
      <c r="D394" s="29">
        <f>ROUND(100*1.09*1.12*1.18,1)</f>
        <v>144.1</v>
      </c>
    </row>
    <row r="395" spans="1:4" ht="12.75" customHeight="1">
      <c r="A395" s="2">
        <v>82</v>
      </c>
      <c r="B395" s="6" t="s">
        <v>368</v>
      </c>
      <c r="C395" s="6" t="s">
        <v>432</v>
      </c>
      <c r="D395" s="29">
        <f>ROUND(120*1.09*1.12*1.18,0)</f>
        <v>173</v>
      </c>
    </row>
    <row r="396" spans="1:4" ht="12.75" customHeight="1">
      <c r="A396" s="2">
        <v>83</v>
      </c>
      <c r="B396" s="6" t="s">
        <v>372</v>
      </c>
      <c r="C396" s="6" t="s">
        <v>432</v>
      </c>
      <c r="D396" s="29">
        <f>ROUND(74*1.09*1.12,0)</f>
        <v>90</v>
      </c>
    </row>
    <row r="397" spans="1:4" ht="12.75" customHeight="1">
      <c r="A397" s="2">
        <v>84</v>
      </c>
      <c r="B397" s="6" t="s">
        <v>375</v>
      </c>
      <c r="C397" s="6" t="s">
        <v>432</v>
      </c>
      <c r="D397" s="29">
        <f>ROUND(84*1.09*1.12*1.18,0)</f>
        <v>121</v>
      </c>
    </row>
    <row r="398" spans="1:4" ht="12.75" customHeight="1">
      <c r="A398" s="2">
        <v>85</v>
      </c>
      <c r="B398" s="6" t="s">
        <v>377</v>
      </c>
      <c r="C398" s="6" t="s">
        <v>432</v>
      </c>
      <c r="D398" s="29">
        <f>ROUND(84*1.09*1.12*1.18,0)</f>
        <v>121</v>
      </c>
    </row>
    <row r="399" spans="1:4" ht="12.75" customHeight="1">
      <c r="A399" s="2">
        <v>86</v>
      </c>
      <c r="B399" s="6" t="s">
        <v>373</v>
      </c>
      <c r="C399" s="6" t="s">
        <v>432</v>
      </c>
      <c r="D399" s="29">
        <f>ROUND(92*1.09*1.12,0)</f>
        <v>112</v>
      </c>
    </row>
    <row r="400" spans="1:4" ht="12.75" customHeight="1">
      <c r="A400" s="2">
        <v>87</v>
      </c>
      <c r="B400" s="6" t="s">
        <v>374</v>
      </c>
      <c r="C400" s="6" t="s">
        <v>432</v>
      </c>
      <c r="D400" s="29">
        <f>ROUND(102*1.09*1.12*1.18,0)</f>
        <v>147</v>
      </c>
    </row>
    <row r="401" spans="1:4" ht="12.75" customHeight="1">
      <c r="A401" s="2">
        <v>88</v>
      </c>
      <c r="B401" s="6" t="s">
        <v>376</v>
      </c>
      <c r="C401" s="6" t="s">
        <v>432</v>
      </c>
      <c r="D401" s="29">
        <f>ROUND(102*1.09*1.12*1.18,0)</f>
        <v>147</v>
      </c>
    </row>
    <row r="402" spans="1:4" ht="12.75" customHeight="1">
      <c r="A402" s="2">
        <v>89</v>
      </c>
      <c r="B402" s="6" t="s">
        <v>367</v>
      </c>
      <c r="C402" s="6" t="s">
        <v>433</v>
      </c>
      <c r="D402" s="29">
        <f>ROUND(349.8*1.09*1.12*1.18,0)</f>
        <v>504</v>
      </c>
    </row>
    <row r="403" spans="1:4" ht="12.75">
      <c r="A403" s="2">
        <v>90</v>
      </c>
      <c r="B403" s="6" t="s">
        <v>290</v>
      </c>
      <c r="C403" s="6" t="s">
        <v>20</v>
      </c>
      <c r="D403" s="29">
        <f>ROUND(177*1.09*1.12*1.18,1)</f>
        <v>255</v>
      </c>
    </row>
    <row r="404" spans="1:4" ht="12.75">
      <c r="A404" s="2">
        <v>91</v>
      </c>
      <c r="B404" s="6" t="s">
        <v>291</v>
      </c>
      <c r="C404" s="6" t="s">
        <v>20</v>
      </c>
      <c r="D404" s="29">
        <f>ROUND(15.7*1.09*1.12*1.18,1)</f>
        <v>22.6</v>
      </c>
    </row>
    <row r="405" spans="1:4" ht="12.75">
      <c r="A405" s="2">
        <v>92</v>
      </c>
      <c r="B405" s="6" t="s">
        <v>292</v>
      </c>
      <c r="C405" s="6" t="s">
        <v>20</v>
      </c>
      <c r="D405" s="29">
        <f>ROUND(15.4*1.09*1.12*1.18,1)</f>
        <v>22.2</v>
      </c>
    </row>
    <row r="406" spans="1:4" ht="12.75">
      <c r="A406" s="2">
        <v>93</v>
      </c>
      <c r="B406" s="6" t="s">
        <v>344</v>
      </c>
      <c r="C406" s="6" t="s">
        <v>20</v>
      </c>
      <c r="D406" s="29">
        <f>ROUND(153.44*1.09*1.12*1.18,1)</f>
        <v>221</v>
      </c>
    </row>
    <row r="407" spans="1:4" ht="12.75">
      <c r="A407" s="2">
        <v>94</v>
      </c>
      <c r="B407" s="6" t="s">
        <v>345</v>
      </c>
      <c r="C407" s="6" t="s">
        <v>20</v>
      </c>
      <c r="D407" s="29">
        <f>ROUND(282.3*1.09*1.12*1.18,1)</f>
        <v>406.7</v>
      </c>
    </row>
    <row r="408" spans="1:4" ht="12.75">
      <c r="A408" s="2">
        <v>95</v>
      </c>
      <c r="B408" s="6" t="s">
        <v>346</v>
      </c>
      <c r="C408" s="6" t="s">
        <v>20</v>
      </c>
      <c r="D408" s="29">
        <f>ROUND(887*1.09*1.12*1.18,1)</f>
        <v>1277.8</v>
      </c>
    </row>
    <row r="409" spans="1:4" ht="12.75">
      <c r="A409" s="2">
        <v>96</v>
      </c>
      <c r="B409" s="6" t="s">
        <v>347</v>
      </c>
      <c r="C409" s="6" t="s">
        <v>20</v>
      </c>
      <c r="D409" s="29">
        <f>ROUND(544*1.09*1.12*1.18,1)</f>
        <v>783.7</v>
      </c>
    </row>
    <row r="410" spans="1:4" ht="12.75">
      <c r="A410" s="2">
        <v>97</v>
      </c>
      <c r="B410" s="6" t="s">
        <v>348</v>
      </c>
      <c r="C410" s="6" t="s">
        <v>20</v>
      </c>
      <c r="D410" s="29">
        <f>ROUND(536*1.09*1.12*1.18,1)</f>
        <v>772.1</v>
      </c>
    </row>
    <row r="411" spans="1:4" ht="12.75">
      <c r="A411" s="2">
        <v>98</v>
      </c>
      <c r="B411" s="6" t="s">
        <v>349</v>
      </c>
      <c r="C411" s="6" t="s">
        <v>20</v>
      </c>
      <c r="D411" s="29">
        <f>ROUND(432*1.09*1.12*1.18,1)</f>
        <v>622.3</v>
      </c>
    </row>
    <row r="412" spans="1:4" ht="13.5" customHeight="1">
      <c r="A412" s="2">
        <v>99</v>
      </c>
      <c r="B412" s="6" t="s">
        <v>351</v>
      </c>
      <c r="C412" s="6" t="s">
        <v>20</v>
      </c>
      <c r="D412" s="29">
        <v>510.1</v>
      </c>
    </row>
    <row r="413" spans="1:4" ht="12.75">
      <c r="A413" s="2">
        <v>100</v>
      </c>
      <c r="B413" s="6" t="s">
        <v>388</v>
      </c>
      <c r="C413" s="6" t="s">
        <v>432</v>
      </c>
      <c r="D413" s="29">
        <f>ROUND(125*1.09*1.12*1.18,0)</f>
        <v>180</v>
      </c>
    </row>
    <row r="414" spans="1:4" ht="12.75">
      <c r="A414" s="2">
        <v>101</v>
      </c>
      <c r="B414" s="6" t="s">
        <v>389</v>
      </c>
      <c r="C414" s="6" t="s">
        <v>432</v>
      </c>
      <c r="D414" s="30">
        <f>ROUND(150*1.12*1.18,1)</f>
        <v>198.2</v>
      </c>
    </row>
    <row r="415" spans="1:4" ht="12.75">
      <c r="A415" s="2">
        <v>102</v>
      </c>
      <c r="B415" s="6" t="s">
        <v>390</v>
      </c>
      <c r="C415" s="6" t="s">
        <v>432</v>
      </c>
      <c r="D415" s="29">
        <f>ROUND(115*1.12*1.18,0)</f>
        <v>152</v>
      </c>
    </row>
    <row r="416" spans="1:4" ht="12.75">
      <c r="A416" s="2">
        <v>103</v>
      </c>
      <c r="B416" s="6" t="s">
        <v>378</v>
      </c>
      <c r="C416" s="6" t="s">
        <v>432</v>
      </c>
      <c r="D416" s="30">
        <f>ROUND(85*1.09*1.12*1.18,0)</f>
        <v>122</v>
      </c>
    </row>
    <row r="417" spans="1:4" ht="12.75">
      <c r="A417" s="2">
        <v>104</v>
      </c>
      <c r="B417" s="6" t="s">
        <v>379</v>
      </c>
      <c r="C417" s="6" t="s">
        <v>432</v>
      </c>
      <c r="D417" s="30">
        <f>ROUND(112.3*1.18,1)</f>
        <v>132.5</v>
      </c>
    </row>
    <row r="418" spans="1:4" ht="12.75">
      <c r="A418" s="2">
        <v>105</v>
      </c>
      <c r="B418" s="6" t="s">
        <v>392</v>
      </c>
      <c r="C418" s="6" t="s">
        <v>432</v>
      </c>
      <c r="D418" s="29">
        <f>ROUND(100*1.09*1.12*1.18,1)</f>
        <v>144.1</v>
      </c>
    </row>
    <row r="419" spans="1:4" ht="12.75">
      <c r="A419" s="2">
        <v>106</v>
      </c>
      <c r="B419" s="6" t="s">
        <v>352</v>
      </c>
      <c r="C419" s="6" t="s">
        <v>20</v>
      </c>
      <c r="D419" s="29">
        <f>ROUND(11.5*1.09*1.12*1.18,1)</f>
        <v>16.6</v>
      </c>
    </row>
    <row r="420" spans="1:4" ht="12.75">
      <c r="A420" s="2">
        <v>107</v>
      </c>
      <c r="B420" s="6" t="s">
        <v>380</v>
      </c>
      <c r="C420" s="6" t="s">
        <v>432</v>
      </c>
      <c r="D420" s="29">
        <f>ROUND(92*1.09*1.12*1.18,1)</f>
        <v>132.5</v>
      </c>
    </row>
    <row r="421" spans="1:4" ht="12.75">
      <c r="A421" s="2">
        <v>108</v>
      </c>
      <c r="B421" s="6" t="s">
        <v>381</v>
      </c>
      <c r="C421" s="6" t="s">
        <v>20</v>
      </c>
      <c r="D421" s="29">
        <v>59</v>
      </c>
    </row>
    <row r="422" spans="1:4" ht="12.75">
      <c r="A422" s="2">
        <v>109</v>
      </c>
      <c r="B422" s="6" t="s">
        <v>382</v>
      </c>
      <c r="C422" s="6" t="s">
        <v>20</v>
      </c>
      <c r="D422" s="29">
        <v>24</v>
      </c>
    </row>
    <row r="423" spans="1:4" ht="12.75">
      <c r="A423" s="2">
        <v>110</v>
      </c>
      <c r="B423" s="6" t="s">
        <v>383</v>
      </c>
      <c r="C423" s="6" t="s">
        <v>432</v>
      </c>
      <c r="D423" s="29">
        <f>ROUND(75*1.09*1.12*1.18,1)</f>
        <v>108</v>
      </c>
    </row>
    <row r="424" spans="1:4" ht="12.75">
      <c r="A424" s="2">
        <v>111</v>
      </c>
      <c r="B424" s="6" t="s">
        <v>334</v>
      </c>
      <c r="C424" s="6" t="s">
        <v>539</v>
      </c>
      <c r="D424" s="29">
        <f>ROUND(224*1.09*1.12*1.18,1)</f>
        <v>322.7</v>
      </c>
    </row>
    <row r="425" spans="1:4" ht="12.75">
      <c r="A425" s="2">
        <v>112</v>
      </c>
      <c r="B425" s="6" t="s">
        <v>335</v>
      </c>
      <c r="C425" s="6" t="s">
        <v>539</v>
      </c>
      <c r="D425" s="29">
        <f>ROUND(427.3*1.18,1)</f>
        <v>504.2</v>
      </c>
    </row>
    <row r="426" spans="1:4" ht="12.75">
      <c r="A426" s="2">
        <v>113</v>
      </c>
      <c r="B426" s="6" t="s">
        <v>337</v>
      </c>
      <c r="C426" s="6" t="s">
        <v>20</v>
      </c>
      <c r="D426" s="29">
        <f>ROUND(76.5*1.09*1.12*1.18,1)</f>
        <v>110.2</v>
      </c>
    </row>
    <row r="427" spans="1:4" ht="12.75">
      <c r="A427" s="2">
        <v>114</v>
      </c>
      <c r="B427" s="6" t="s">
        <v>338</v>
      </c>
      <c r="C427" s="6" t="s">
        <v>20</v>
      </c>
      <c r="D427" s="29">
        <f>ROUND(271*1.09*1.12*1.18,1)</f>
        <v>390.4</v>
      </c>
    </row>
    <row r="428" spans="1:4" ht="12.75">
      <c r="A428" s="2">
        <v>115</v>
      </c>
      <c r="B428" s="6" t="s">
        <v>339</v>
      </c>
      <c r="C428" s="6" t="s">
        <v>20</v>
      </c>
      <c r="D428" s="29">
        <f>ROUND(73.9*1.09*1.12*1.18,1)</f>
        <v>106.5</v>
      </c>
    </row>
    <row r="429" spans="1:4" ht="12.75">
      <c r="A429" s="2">
        <v>116</v>
      </c>
      <c r="B429" s="6" t="s">
        <v>340</v>
      </c>
      <c r="C429" s="6" t="s">
        <v>20</v>
      </c>
      <c r="D429" s="29">
        <f>ROUND(95.2*1.09*1.12*1.18,1)</f>
        <v>137.1</v>
      </c>
    </row>
    <row r="430" spans="1:4" ht="12.75">
      <c r="A430" s="2">
        <v>117</v>
      </c>
      <c r="B430" s="6" t="s">
        <v>341</v>
      </c>
      <c r="C430" s="6" t="s">
        <v>20</v>
      </c>
      <c r="D430" s="29">
        <f>ROUND(17.7*1.09*1.12*1.18,1)</f>
        <v>25.5</v>
      </c>
    </row>
    <row r="431" spans="1:4" ht="10.5" customHeight="1">
      <c r="A431" s="2">
        <v>118</v>
      </c>
      <c r="B431" s="6" t="s">
        <v>342</v>
      </c>
      <c r="C431" s="6" t="s">
        <v>20</v>
      </c>
      <c r="D431" s="29">
        <v>128</v>
      </c>
    </row>
    <row r="432" spans="1:4" ht="12" customHeight="1">
      <c r="A432" s="2">
        <v>119</v>
      </c>
      <c r="B432" s="6" t="s">
        <v>343</v>
      </c>
      <c r="C432" s="6" t="s">
        <v>20</v>
      </c>
      <c r="D432" s="29">
        <v>164</v>
      </c>
    </row>
    <row r="433" spans="1:4" ht="12" customHeight="1">
      <c r="A433" s="2">
        <v>120</v>
      </c>
      <c r="B433" s="6" t="s">
        <v>521</v>
      </c>
      <c r="C433" s="6" t="s">
        <v>20</v>
      </c>
      <c r="D433" s="29">
        <v>15</v>
      </c>
    </row>
    <row r="434" spans="1:4" ht="12.75">
      <c r="A434" s="2">
        <v>121</v>
      </c>
      <c r="B434" s="6" t="s">
        <v>384</v>
      </c>
      <c r="C434" s="6" t="s">
        <v>432</v>
      </c>
      <c r="D434" s="29">
        <f>ROUND(92*1.09*1.12*1.18,1)</f>
        <v>132.5</v>
      </c>
    </row>
    <row r="435" spans="1:4" ht="12.75">
      <c r="A435" s="2">
        <v>122</v>
      </c>
      <c r="B435" s="6" t="s">
        <v>385</v>
      </c>
      <c r="C435" s="6" t="s">
        <v>432</v>
      </c>
      <c r="D435" s="29">
        <f>ROUND(74*1.09*1.12*1.18,1)</f>
        <v>106.6</v>
      </c>
    </row>
    <row r="436" spans="1:4" ht="12.75">
      <c r="A436" s="2">
        <v>123</v>
      </c>
      <c r="B436" s="6" t="s">
        <v>386</v>
      </c>
      <c r="C436" s="6" t="s">
        <v>433</v>
      </c>
      <c r="D436" s="29">
        <f>ROUND(498.5*1.09*1.12*1.18,0)</f>
        <v>718</v>
      </c>
    </row>
    <row r="437" spans="1:4" ht="12.75">
      <c r="A437" s="2"/>
      <c r="B437" s="20" t="s">
        <v>394</v>
      </c>
      <c r="C437" s="2"/>
      <c r="D437" s="2"/>
    </row>
    <row r="438" spans="1:4" ht="12.75">
      <c r="A438" s="6" t="s">
        <v>279</v>
      </c>
      <c r="B438" s="6" t="s">
        <v>395</v>
      </c>
      <c r="C438" s="6" t="s">
        <v>281</v>
      </c>
      <c r="D438" s="6" t="s">
        <v>396</v>
      </c>
    </row>
    <row r="439" spans="1:4" ht="12.75">
      <c r="A439" s="2">
        <v>1</v>
      </c>
      <c r="B439" s="6" t="s">
        <v>397</v>
      </c>
      <c r="C439" s="6" t="s">
        <v>20</v>
      </c>
      <c r="D439" s="31">
        <f>ROUND(149.6*1.18,1)</f>
        <v>176.5</v>
      </c>
    </row>
    <row r="440" spans="1:4" ht="12.75">
      <c r="A440" s="2">
        <v>2</v>
      </c>
      <c r="B440" s="6" t="s">
        <v>398</v>
      </c>
      <c r="C440" s="6" t="s">
        <v>20</v>
      </c>
      <c r="D440" s="31">
        <f>ROUND(374*1.12*1.18,0)</f>
        <v>494</v>
      </c>
    </row>
    <row r="441" spans="1:4" ht="12.75">
      <c r="A441" s="2">
        <v>3</v>
      </c>
      <c r="B441" s="6" t="s">
        <v>399</v>
      </c>
      <c r="C441" s="6" t="s">
        <v>432</v>
      </c>
      <c r="D441" s="31">
        <f>ROUND(120*1.09*1.12*1.18,0)</f>
        <v>173</v>
      </c>
    </row>
    <row r="442" spans="1:4" ht="12.75">
      <c r="A442" s="2">
        <v>4</v>
      </c>
      <c r="B442" s="9" t="s">
        <v>536</v>
      </c>
      <c r="C442" s="8" t="s">
        <v>20</v>
      </c>
      <c r="D442" s="8">
        <f>ROUND(19*1.18*1.18,2)</f>
        <v>26.46</v>
      </c>
    </row>
    <row r="443" spans="1:4" ht="12.75">
      <c r="A443" s="2"/>
      <c r="B443" s="20" t="s">
        <v>400</v>
      </c>
      <c r="C443" s="6"/>
      <c r="D443" s="31"/>
    </row>
    <row r="444" spans="1:4" ht="12.75">
      <c r="A444" s="2">
        <v>5</v>
      </c>
      <c r="B444" s="6" t="s">
        <v>401</v>
      </c>
      <c r="C444" s="6" t="s">
        <v>20</v>
      </c>
      <c r="D444" s="31">
        <f>ROUND(10.2*1.09*1.12*1.18,1)</f>
        <v>14.7</v>
      </c>
    </row>
    <row r="445" spans="1:4" ht="12.75">
      <c r="A445" s="2">
        <v>6</v>
      </c>
      <c r="B445" s="6" t="s">
        <v>402</v>
      </c>
      <c r="C445" s="6" t="s">
        <v>20</v>
      </c>
      <c r="D445" s="31">
        <f>ROUND(13.1*1.09*1.12*1.18,1)</f>
        <v>18.9</v>
      </c>
    </row>
    <row r="446" spans="1:4" ht="12.75">
      <c r="A446" s="2">
        <v>7</v>
      </c>
      <c r="B446" s="9" t="s">
        <v>403</v>
      </c>
      <c r="C446" s="6" t="s">
        <v>20</v>
      </c>
      <c r="D446" s="31">
        <f>ROUND(13.8*1.09*1.12*1.18,1)</f>
        <v>19.9</v>
      </c>
    </row>
    <row r="447" spans="1:4" ht="12.75">
      <c r="A447" s="2">
        <v>8</v>
      </c>
      <c r="B447" s="9" t="s">
        <v>404</v>
      </c>
      <c r="C447" s="6" t="s">
        <v>20</v>
      </c>
      <c r="D447" s="31">
        <f>ROUND(28.9*1.09*1.12*1.18,1)</f>
        <v>41.6</v>
      </c>
    </row>
    <row r="448" spans="1:4" ht="12.75">
      <c r="A448" s="2">
        <v>9</v>
      </c>
      <c r="B448" s="9" t="s">
        <v>405</v>
      </c>
      <c r="C448" s="6" t="s">
        <v>20</v>
      </c>
      <c r="D448" s="31">
        <f>ROUND(14.2*1.09*1.12*1.18,1)</f>
        <v>20.5</v>
      </c>
    </row>
    <row r="449" spans="1:4" ht="12.75">
      <c r="A449" s="2">
        <v>10</v>
      </c>
      <c r="B449" s="9" t="s">
        <v>406</v>
      </c>
      <c r="C449" s="6" t="s">
        <v>20</v>
      </c>
      <c r="D449" s="31">
        <f>ROUND(31*1.09*1.12*1.18,1)</f>
        <v>44.7</v>
      </c>
    </row>
    <row r="450" spans="1:4" ht="12.75">
      <c r="A450" s="2">
        <v>11</v>
      </c>
      <c r="B450" s="9" t="s">
        <v>407</v>
      </c>
      <c r="C450" s="6" t="s">
        <v>20</v>
      </c>
      <c r="D450" s="31">
        <f>ROUND(9.3*1.09*1.12*1.18,1)</f>
        <v>13.4</v>
      </c>
    </row>
    <row r="451" spans="1:4" ht="12.75">
      <c r="A451" s="2">
        <v>12</v>
      </c>
      <c r="B451" s="9" t="s">
        <v>408</v>
      </c>
      <c r="C451" s="6" t="s">
        <v>20</v>
      </c>
      <c r="D451" s="31">
        <f>ROUND(33.6*1.09*1.12*1.18,1)</f>
        <v>48.4</v>
      </c>
    </row>
    <row r="452" spans="1:4" ht="12.75">
      <c r="A452" s="2">
        <v>13</v>
      </c>
      <c r="B452" s="9" t="s">
        <v>409</v>
      </c>
      <c r="C452" s="6" t="s">
        <v>20</v>
      </c>
      <c r="D452" s="31">
        <v>50.8</v>
      </c>
    </row>
    <row r="453" spans="1:4" ht="12.75">
      <c r="A453" s="2"/>
      <c r="B453" s="19" t="s">
        <v>410</v>
      </c>
      <c r="C453" s="2"/>
      <c r="D453" s="31"/>
    </row>
    <row r="454" spans="1:4" ht="12.75">
      <c r="A454" s="2">
        <v>14</v>
      </c>
      <c r="B454" s="6" t="s">
        <v>411</v>
      </c>
      <c r="C454" s="6" t="s">
        <v>20</v>
      </c>
      <c r="D454" s="31">
        <f>ROUND(22.5*1.09*1.12*1.18,1)</f>
        <v>32.4</v>
      </c>
    </row>
    <row r="455" spans="1:4" ht="12.75">
      <c r="A455" s="2">
        <v>15</v>
      </c>
      <c r="B455" s="6" t="s">
        <v>412</v>
      </c>
      <c r="C455" s="6" t="s">
        <v>20</v>
      </c>
      <c r="D455" s="31">
        <f>ROUND(24.1*1.09*1.12*1.18,1)</f>
        <v>34.7</v>
      </c>
    </row>
    <row r="456" spans="1:4" ht="12.75">
      <c r="A456" s="2">
        <v>16</v>
      </c>
      <c r="B456" s="6" t="s">
        <v>413</v>
      </c>
      <c r="C456" s="6" t="s">
        <v>20</v>
      </c>
      <c r="D456" s="31">
        <f>ROUND(11.8*1.09*1.12*1.18,1)</f>
        <v>17</v>
      </c>
    </row>
    <row r="457" spans="1:4" ht="12.75">
      <c r="A457" s="2">
        <v>17</v>
      </c>
      <c r="B457" s="6" t="s">
        <v>414</v>
      </c>
      <c r="C457" s="6" t="s">
        <v>20</v>
      </c>
      <c r="D457" s="31">
        <f>ROUND(13.8*1.09*1.12*1.18,1)</f>
        <v>19.9</v>
      </c>
    </row>
    <row r="458" spans="1:4" ht="12.75">
      <c r="A458" s="2">
        <v>18</v>
      </c>
      <c r="B458" s="6" t="s">
        <v>415</v>
      </c>
      <c r="C458" s="6" t="s">
        <v>20</v>
      </c>
      <c r="D458" s="31">
        <f>ROUND(16.3*1.09*1.12*1.18,1)</f>
        <v>23.5</v>
      </c>
    </row>
    <row r="459" spans="1:4" ht="12" customHeight="1">
      <c r="A459" s="2">
        <v>19</v>
      </c>
      <c r="B459" s="6" t="s">
        <v>416</v>
      </c>
      <c r="C459" s="6" t="s">
        <v>20</v>
      </c>
      <c r="D459" s="31">
        <f>ROUND(10.6*1.09*1.12*1.18,1)</f>
        <v>15.3</v>
      </c>
    </row>
    <row r="460" spans="1:4" ht="12" customHeight="1">
      <c r="A460" s="2">
        <v>20</v>
      </c>
      <c r="B460" s="6" t="s">
        <v>423</v>
      </c>
      <c r="C460" s="6" t="s">
        <v>20</v>
      </c>
      <c r="D460" s="31">
        <f>ROUND(7.4*1.09*1.12*1.18,1)</f>
        <v>10.7</v>
      </c>
    </row>
    <row r="461" spans="1:4" ht="12" customHeight="1">
      <c r="A461" s="2">
        <v>21</v>
      </c>
      <c r="B461" s="6" t="s">
        <v>422</v>
      </c>
      <c r="C461" s="6" t="s">
        <v>20</v>
      </c>
      <c r="D461" s="31">
        <f>ROUND(7.4*1.09*1.12*1.18,1)</f>
        <v>10.7</v>
      </c>
    </row>
    <row r="462" spans="1:4" ht="12" customHeight="1">
      <c r="A462" s="2">
        <v>22</v>
      </c>
      <c r="B462" s="6" t="s">
        <v>418</v>
      </c>
      <c r="C462" s="6" t="s">
        <v>20</v>
      </c>
      <c r="D462" s="31">
        <f>ROUND(10*1.09*1.12*1.18,1)</f>
        <v>14.4</v>
      </c>
    </row>
    <row r="463" spans="1:4" ht="12.75">
      <c r="A463" s="2">
        <v>23</v>
      </c>
      <c r="B463" s="6" t="s">
        <v>417</v>
      </c>
      <c r="C463" s="6" t="s">
        <v>20</v>
      </c>
      <c r="D463" s="31">
        <f>ROUND(10*1.09*1.12*1.18,1)</f>
        <v>14.4</v>
      </c>
    </row>
    <row r="464" spans="1:4" ht="12.75">
      <c r="A464" s="2">
        <v>24</v>
      </c>
      <c r="B464" s="6" t="s">
        <v>428</v>
      </c>
      <c r="C464" s="6" t="s">
        <v>20</v>
      </c>
      <c r="D464" s="31">
        <f>ROUND(11*1.09*1.12*1.18,1)</f>
        <v>15.8</v>
      </c>
    </row>
    <row r="465" spans="1:4" ht="12.75">
      <c r="A465" s="2">
        <v>25</v>
      </c>
      <c r="B465" s="6" t="s">
        <v>424</v>
      </c>
      <c r="C465" s="6" t="s">
        <v>20</v>
      </c>
      <c r="D465" s="31">
        <f>ROUND(10.4*1.09*1.12*1.18,1)</f>
        <v>15</v>
      </c>
    </row>
    <row r="466" spans="1:4" ht="12.75">
      <c r="A466" s="2">
        <v>26</v>
      </c>
      <c r="B466" s="6" t="s">
        <v>419</v>
      </c>
      <c r="C466" s="6" t="s">
        <v>20</v>
      </c>
      <c r="D466" s="31">
        <f>ROUND(11.5*1.09*1.12*1.18,1)</f>
        <v>16.6</v>
      </c>
    </row>
    <row r="467" spans="1:4" ht="12.75">
      <c r="A467" s="2">
        <v>27</v>
      </c>
      <c r="B467" s="6" t="s">
        <v>420</v>
      </c>
      <c r="C467" s="6" t="s">
        <v>20</v>
      </c>
      <c r="D467" s="31">
        <f>ROUND(16.5*1.09*1.12*1.18,1)</f>
        <v>23.8</v>
      </c>
    </row>
    <row r="468" spans="1:4" ht="12.75">
      <c r="A468" s="2">
        <v>28</v>
      </c>
      <c r="B468" s="6" t="s">
        <v>425</v>
      </c>
      <c r="C468" s="6" t="s">
        <v>20</v>
      </c>
      <c r="D468" s="31">
        <f>ROUND(13.5*1.09*1.12*1.18,1)</f>
        <v>19.4</v>
      </c>
    </row>
    <row r="469" spans="1:4" ht="12.75">
      <c r="A469" s="2">
        <v>29</v>
      </c>
      <c r="B469" s="6" t="s">
        <v>426</v>
      </c>
      <c r="C469" s="6" t="s">
        <v>20</v>
      </c>
      <c r="D469" s="31">
        <f>ROUND(14*1.09*1.12*1.18,1)</f>
        <v>20.2</v>
      </c>
    </row>
    <row r="470" spans="1:4" ht="12.75">
      <c r="A470" s="2">
        <v>30</v>
      </c>
      <c r="B470" s="6" t="s">
        <v>429</v>
      </c>
      <c r="C470" s="6" t="s">
        <v>20</v>
      </c>
      <c r="D470" s="31">
        <f>ROUND(18.8*1.09*1.12*1.18,1)</f>
        <v>27.1</v>
      </c>
    </row>
    <row r="471" spans="1:4" ht="12.75">
      <c r="A471" s="2">
        <v>31</v>
      </c>
      <c r="B471" s="6" t="s">
        <v>427</v>
      </c>
      <c r="C471" s="6" t="s">
        <v>20</v>
      </c>
      <c r="D471" s="31">
        <f>ROUND(17.8*1.09*1.12*1.18,1)</f>
        <v>25.6</v>
      </c>
    </row>
    <row r="472" spans="1:4" ht="12.75">
      <c r="A472" s="2">
        <v>32</v>
      </c>
      <c r="B472" s="6" t="s">
        <v>421</v>
      </c>
      <c r="C472" s="6" t="s">
        <v>20</v>
      </c>
      <c r="D472" s="31">
        <f>ROUND(18.5*1.09*1.12*1.18,1)</f>
        <v>26.7</v>
      </c>
    </row>
    <row r="473" spans="1:4" ht="12.75">
      <c r="A473" s="2">
        <v>33</v>
      </c>
      <c r="B473" s="6" t="s">
        <v>430</v>
      </c>
      <c r="C473" s="6" t="s">
        <v>20</v>
      </c>
      <c r="D473" s="31">
        <f>ROUND(21.3*1.09*1.12*1.18,1)</f>
        <v>30.7</v>
      </c>
    </row>
    <row r="474" spans="1:4" ht="12.75">
      <c r="A474" s="2">
        <v>34</v>
      </c>
      <c r="B474" s="6" t="s">
        <v>431</v>
      </c>
      <c r="C474" s="6" t="s">
        <v>432</v>
      </c>
      <c r="D474" s="31">
        <v>180</v>
      </c>
    </row>
    <row r="475" spans="1:4" ht="12.75">
      <c r="A475" s="8">
        <v>35</v>
      </c>
      <c r="B475" s="6" t="s">
        <v>540</v>
      </c>
      <c r="C475" s="6" t="s">
        <v>20</v>
      </c>
      <c r="D475" s="31">
        <v>11.2</v>
      </c>
    </row>
    <row r="476" spans="1:4" ht="12.75">
      <c r="A476" s="8">
        <v>36</v>
      </c>
      <c r="B476" s="6" t="s">
        <v>541</v>
      </c>
      <c r="C476" s="6" t="s">
        <v>20</v>
      </c>
      <c r="D476" s="31">
        <v>16.8</v>
      </c>
    </row>
    <row r="477" spans="1:4" ht="12.75">
      <c r="A477" s="8">
        <v>37</v>
      </c>
      <c r="B477" s="6" t="s">
        <v>543</v>
      </c>
      <c r="C477" s="6" t="s">
        <v>20</v>
      </c>
      <c r="D477" s="31">
        <v>16.8</v>
      </c>
    </row>
    <row r="478" spans="1:4" ht="12.75">
      <c r="A478" s="8">
        <v>38</v>
      </c>
      <c r="B478" s="6" t="s">
        <v>542</v>
      </c>
      <c r="C478" s="6" t="s">
        <v>20</v>
      </c>
      <c r="D478" s="31">
        <v>16.8</v>
      </c>
    </row>
    <row r="479" spans="1:2" ht="15.75">
      <c r="A479" s="21"/>
      <c r="B479" s="33" t="s">
        <v>437</v>
      </c>
    </row>
    <row r="480" spans="1:4" ht="12.75">
      <c r="A480" s="34"/>
      <c r="B480" s="36" t="s">
        <v>434</v>
      </c>
      <c r="C480" s="36"/>
      <c r="D480" s="36" t="s">
        <v>475</v>
      </c>
    </row>
    <row r="481" spans="1:4" ht="12.75">
      <c r="A481" s="35"/>
      <c r="B481" s="37"/>
      <c r="C481" s="37"/>
      <c r="D481" s="37" t="s">
        <v>476</v>
      </c>
    </row>
    <row r="482" spans="1:4" ht="12.75">
      <c r="A482" s="34">
        <v>1</v>
      </c>
      <c r="B482" s="36" t="s">
        <v>435</v>
      </c>
      <c r="C482" s="36"/>
      <c r="D482" s="47">
        <v>73</v>
      </c>
    </row>
    <row r="483" spans="1:4" ht="12.75">
      <c r="A483" s="35"/>
      <c r="B483" s="37" t="s">
        <v>436</v>
      </c>
      <c r="C483" s="37"/>
      <c r="D483" s="35"/>
    </row>
    <row r="484" spans="1:2" ht="15.75">
      <c r="A484" s="21"/>
      <c r="B484" s="48" t="s">
        <v>552</v>
      </c>
    </row>
    <row r="485" spans="1:4" ht="12.75">
      <c r="A485" s="34"/>
      <c r="B485" s="49" t="s">
        <v>549</v>
      </c>
      <c r="C485" s="36" t="s">
        <v>281</v>
      </c>
      <c r="D485" s="36" t="s">
        <v>282</v>
      </c>
    </row>
    <row r="486" spans="1:4" ht="12.75">
      <c r="A486" s="2">
        <v>1</v>
      </c>
      <c r="B486" s="6" t="s">
        <v>550</v>
      </c>
      <c r="C486" s="6" t="s">
        <v>432</v>
      </c>
      <c r="D486" s="3">
        <v>147</v>
      </c>
    </row>
    <row r="487" spans="2:3" ht="15.75">
      <c r="B487" s="33" t="s">
        <v>464</v>
      </c>
      <c r="C487" s="4"/>
    </row>
    <row r="488" spans="1:4" ht="12.75">
      <c r="A488" s="34"/>
      <c r="B488" s="36" t="s">
        <v>434</v>
      </c>
      <c r="C488" s="36" t="s">
        <v>450</v>
      </c>
      <c r="D488" s="36" t="s">
        <v>551</v>
      </c>
    </row>
    <row r="489" spans="1:4" ht="12.75">
      <c r="A489" s="35"/>
      <c r="B489" s="37"/>
      <c r="C489" s="37" t="s">
        <v>451</v>
      </c>
      <c r="D489" s="37"/>
    </row>
    <row r="490" spans="1:4" ht="12.75">
      <c r="A490" s="2">
        <v>1</v>
      </c>
      <c r="B490" s="6" t="s">
        <v>438</v>
      </c>
      <c r="C490" s="6" t="s">
        <v>452</v>
      </c>
      <c r="D490" s="14">
        <f>ROUND(110*1.12*1.18,0)</f>
        <v>145</v>
      </c>
    </row>
    <row r="491" spans="1:4" ht="12.75">
      <c r="A491" s="2">
        <v>2</v>
      </c>
      <c r="B491" s="6" t="s">
        <v>439</v>
      </c>
      <c r="C491" s="6" t="s">
        <v>453</v>
      </c>
      <c r="D491" s="14">
        <f>ROUND(115*1.12*1.18,0)</f>
        <v>152</v>
      </c>
    </row>
    <row r="492" spans="1:4" ht="12.75">
      <c r="A492" s="2">
        <v>3</v>
      </c>
      <c r="B492" s="6" t="s">
        <v>440</v>
      </c>
      <c r="C492" s="6" t="s">
        <v>454</v>
      </c>
      <c r="D492" s="14">
        <f>ROUND(110*1.12*1.18,0)</f>
        <v>145</v>
      </c>
    </row>
    <row r="493" spans="1:4" ht="12.75">
      <c r="A493" s="2">
        <v>4</v>
      </c>
      <c r="B493" s="6" t="s">
        <v>478</v>
      </c>
      <c r="C493" s="6" t="s">
        <v>479</v>
      </c>
      <c r="D493" s="14">
        <f>ROUND(98*1.12*1.18,0)</f>
        <v>130</v>
      </c>
    </row>
    <row r="494" spans="1:4" ht="12.75">
      <c r="A494" s="2">
        <v>5</v>
      </c>
      <c r="B494" s="6" t="s">
        <v>441</v>
      </c>
      <c r="C494" s="6" t="s">
        <v>455</v>
      </c>
      <c r="D494" s="14">
        <f>ROUND(90*1.12*1.18,0)</f>
        <v>119</v>
      </c>
    </row>
    <row r="495" spans="1:4" ht="12.75">
      <c r="A495" s="2">
        <v>6</v>
      </c>
      <c r="B495" s="6" t="s">
        <v>477</v>
      </c>
      <c r="C495" s="6" t="s">
        <v>455</v>
      </c>
      <c r="D495" s="14">
        <f>ROUND(90*1.12*1.18,0)</f>
        <v>119</v>
      </c>
    </row>
    <row r="496" spans="1:4" ht="12.75">
      <c r="A496" s="2">
        <v>7</v>
      </c>
      <c r="B496" s="6" t="s">
        <v>442</v>
      </c>
      <c r="C496" s="6" t="s">
        <v>456</v>
      </c>
      <c r="D496" s="14">
        <f>ROUND(135*1.18,0)</f>
        <v>159</v>
      </c>
    </row>
    <row r="497" spans="1:4" ht="12.75">
      <c r="A497" s="2">
        <v>8</v>
      </c>
      <c r="B497" s="6">
        <v>2462</v>
      </c>
      <c r="C497" s="6" t="s">
        <v>480</v>
      </c>
      <c r="D497" s="14">
        <f>ROUND(96*1.12*1.18,0)</f>
        <v>127</v>
      </c>
    </row>
    <row r="498" spans="1:4" ht="12.75">
      <c r="A498" s="2">
        <v>9</v>
      </c>
      <c r="B498" s="6" t="s">
        <v>443</v>
      </c>
      <c r="C498" s="6" t="s">
        <v>457</v>
      </c>
      <c r="D498" s="14">
        <f>ROUND(115*1.12*1.18,0)</f>
        <v>152</v>
      </c>
    </row>
    <row r="499" spans="1:4" ht="12.75">
      <c r="A499" s="2">
        <v>10</v>
      </c>
      <c r="B499" s="6" t="s">
        <v>444</v>
      </c>
      <c r="C499" s="6" t="s">
        <v>458</v>
      </c>
      <c r="D499" s="14">
        <f>ROUND(96*1.12*1.18,0)</f>
        <v>127</v>
      </c>
    </row>
    <row r="500" spans="1:4" ht="12.75">
      <c r="A500" s="2">
        <v>11</v>
      </c>
      <c r="B500" s="6" t="s">
        <v>445</v>
      </c>
      <c r="C500" s="6" t="s">
        <v>459</v>
      </c>
      <c r="D500" s="14">
        <f>ROUND(96*1.12*1.18,0)</f>
        <v>127</v>
      </c>
    </row>
    <row r="501" spans="1:4" ht="12.75">
      <c r="A501" s="2">
        <v>12</v>
      </c>
      <c r="B501" s="6" t="s">
        <v>446</v>
      </c>
      <c r="C501" s="6" t="s">
        <v>460</v>
      </c>
      <c r="D501" s="14">
        <f>ROUND(96*1.12*1.18,0)</f>
        <v>127</v>
      </c>
    </row>
    <row r="502" spans="1:4" ht="12.75">
      <c r="A502" s="2">
        <v>13</v>
      </c>
      <c r="B502" s="6" t="s">
        <v>447</v>
      </c>
      <c r="C502" s="6" t="s">
        <v>461</v>
      </c>
      <c r="D502" s="14">
        <f>ROUND(92*1.12*1.18,0)</f>
        <v>122</v>
      </c>
    </row>
    <row r="503" spans="1:4" ht="12.75">
      <c r="A503" s="2">
        <v>14</v>
      </c>
      <c r="B503" s="6" t="s">
        <v>448</v>
      </c>
      <c r="C503" s="6" t="s">
        <v>462</v>
      </c>
      <c r="D503" s="14">
        <f>ROUND(98*1.12*1.18,0)</f>
        <v>130</v>
      </c>
    </row>
    <row r="504" spans="1:4" ht="12.75">
      <c r="A504" s="2">
        <v>15</v>
      </c>
      <c r="B504" s="6" t="s">
        <v>449</v>
      </c>
      <c r="C504" s="6" t="s">
        <v>463</v>
      </c>
      <c r="D504" s="14">
        <f>ROUND(98*1.12*1.18,0)</f>
        <v>130</v>
      </c>
    </row>
    <row r="505" ht="12.75">
      <c r="B505" s="32" t="s">
        <v>465</v>
      </c>
    </row>
    <row r="506" spans="1:4" ht="12.75">
      <c r="A506" s="2">
        <v>1</v>
      </c>
      <c r="B506" s="6" t="s">
        <v>466</v>
      </c>
      <c r="C506" s="6" t="s">
        <v>462</v>
      </c>
      <c r="D506" s="14">
        <v>148</v>
      </c>
    </row>
    <row r="507" ht="12.75">
      <c r="B507" s="32" t="s">
        <v>467</v>
      </c>
    </row>
    <row r="508" spans="1:4" ht="12.75">
      <c r="A508" s="2">
        <v>1</v>
      </c>
      <c r="B508" s="6" t="s">
        <v>468</v>
      </c>
      <c r="C508" s="6" t="s">
        <v>469</v>
      </c>
      <c r="D508" s="14">
        <f>ROUND(98*1.12*1.18,0)</f>
        <v>130</v>
      </c>
    </row>
    <row r="509" spans="1:4" ht="12.75">
      <c r="A509" s="2">
        <v>2</v>
      </c>
      <c r="B509" s="6" t="s">
        <v>470</v>
      </c>
      <c r="C509" s="6" t="s">
        <v>471</v>
      </c>
      <c r="D509" s="14">
        <f>ROUND(110*1.12*1.18,0)</f>
        <v>145</v>
      </c>
    </row>
    <row r="510" spans="1:4" ht="12.75">
      <c r="A510" s="2">
        <v>3</v>
      </c>
      <c r="B510" s="6" t="s">
        <v>481</v>
      </c>
      <c r="C510" s="6" t="s">
        <v>482</v>
      </c>
      <c r="D510" s="14">
        <f>ROUND(81*1.2*1.12*1.18,0)</f>
        <v>128</v>
      </c>
    </row>
    <row r="511" spans="1:4" ht="12.75">
      <c r="A511" s="2">
        <v>4</v>
      </c>
      <c r="B511" s="6" t="s">
        <v>483</v>
      </c>
      <c r="C511" s="6" t="s">
        <v>484</v>
      </c>
      <c r="D511" s="14">
        <f>ROUND(110*1.12*1.18,0)</f>
        <v>145</v>
      </c>
    </row>
    <row r="512" spans="1:4" ht="12.75">
      <c r="A512" s="2">
        <v>5</v>
      </c>
      <c r="B512" s="6" t="s">
        <v>485</v>
      </c>
      <c r="C512" s="6" t="s">
        <v>486</v>
      </c>
      <c r="D512" s="14">
        <f>ROUND(100*1.12*1.18,0)</f>
        <v>132</v>
      </c>
    </row>
    <row r="513" spans="1:4" ht="12.75">
      <c r="A513" s="2">
        <v>6</v>
      </c>
      <c r="B513" s="6" t="s">
        <v>487</v>
      </c>
      <c r="C513" s="6" t="s">
        <v>486</v>
      </c>
      <c r="D513" s="14">
        <f>ROUND(100*1.12*1.18,0)</f>
        <v>132</v>
      </c>
    </row>
    <row r="514" spans="1:4" ht="12.75">
      <c r="A514" s="2">
        <v>7</v>
      </c>
      <c r="B514" s="6" t="s">
        <v>488</v>
      </c>
      <c r="C514" s="6" t="s">
        <v>486</v>
      </c>
      <c r="D514" s="14">
        <f>ROUND(81*1.2*1.12*1.18,0)</f>
        <v>128</v>
      </c>
    </row>
    <row r="515" spans="1:4" ht="12.75">
      <c r="A515" s="2">
        <v>8</v>
      </c>
      <c r="B515" s="6" t="s">
        <v>489</v>
      </c>
      <c r="C515" s="6" t="s">
        <v>490</v>
      </c>
      <c r="D515" s="14">
        <f>ROUND(129*1.12*1.18,0)</f>
        <v>170</v>
      </c>
    </row>
    <row r="516" spans="1:4" ht="12.75">
      <c r="A516" s="2">
        <v>9</v>
      </c>
      <c r="B516" s="6" t="s">
        <v>491</v>
      </c>
      <c r="C516" s="6" t="s">
        <v>492</v>
      </c>
      <c r="D516" s="14">
        <f>ROUND(81*1.2*1.12*1.18,0)</f>
        <v>128</v>
      </c>
    </row>
    <row r="517" spans="1:4" ht="12.75">
      <c r="A517" s="2">
        <v>11</v>
      </c>
      <c r="B517" s="6" t="s">
        <v>493</v>
      </c>
      <c r="C517" s="6" t="s">
        <v>494</v>
      </c>
      <c r="D517" s="14">
        <f>ROUND(110*1.12*1.18,0)</f>
        <v>145</v>
      </c>
    </row>
    <row r="518" spans="1:4" ht="12.75">
      <c r="A518" s="2">
        <v>12</v>
      </c>
      <c r="B518" s="6">
        <v>590</v>
      </c>
      <c r="C518" s="6" t="s">
        <v>473</v>
      </c>
      <c r="D518" s="14">
        <f>ROUND(78*1.2*1.12*1.18,0)</f>
        <v>124</v>
      </c>
    </row>
    <row r="519" spans="1:4" ht="12.75">
      <c r="A519" s="2">
        <v>13</v>
      </c>
      <c r="B519" s="6">
        <v>4121</v>
      </c>
      <c r="C519" s="6" t="s">
        <v>472</v>
      </c>
      <c r="D519" s="14">
        <f>ROUND(111*1.12*1.18,0)</f>
        <v>147</v>
      </c>
    </row>
    <row r="520" spans="1:4" ht="12.75">
      <c r="A520" s="2">
        <v>14</v>
      </c>
      <c r="B520" s="6">
        <v>6190</v>
      </c>
      <c r="C520" s="6" t="s">
        <v>495</v>
      </c>
      <c r="D520" s="14">
        <f>ROUND(78*1.2*1.12*1.18,0)</f>
        <v>124</v>
      </c>
    </row>
    <row r="521" spans="1:4" ht="12.75">
      <c r="A521" s="2"/>
      <c r="B521" s="6" t="s">
        <v>474</v>
      </c>
      <c r="C521" s="2"/>
      <c r="D521" s="14">
        <f>ROUND(5*1.12*1.18,0)</f>
        <v>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0"/>
  <sheetViews>
    <sheetView tabSelected="1" zoomScalePageLayoutView="0" workbookViewId="0" topLeftCell="A343">
      <selection activeCell="B354" sqref="B354"/>
    </sheetView>
  </sheetViews>
  <sheetFormatPr defaultColWidth="9.140625" defaultRowHeight="12.75"/>
  <cols>
    <col min="1" max="1" width="6.57421875" style="0" customWidth="1"/>
    <col min="2" max="2" width="76.00390625" style="0" customWidth="1"/>
    <col min="4" max="8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B5" t="s">
        <v>567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555</v>
      </c>
    </row>
    <row r="11" ht="12.75">
      <c r="A11" t="s">
        <v>556</v>
      </c>
    </row>
    <row r="12" ht="12.75">
      <c r="A12" t="s">
        <v>9</v>
      </c>
    </row>
    <row r="14" spans="1:4" ht="12.75">
      <c r="A14" s="2" t="s">
        <v>10</v>
      </c>
      <c r="B14" s="2" t="s">
        <v>11</v>
      </c>
      <c r="C14" s="2" t="s">
        <v>12</v>
      </c>
      <c r="D14" s="2" t="s">
        <v>13</v>
      </c>
    </row>
    <row r="15" spans="1:4" ht="12.75">
      <c r="A15" s="1">
        <v>1</v>
      </c>
      <c r="B15" s="2" t="s">
        <v>566</v>
      </c>
      <c r="C15" s="2" t="s">
        <v>15</v>
      </c>
      <c r="D15" s="3">
        <f>ROUND(432,2)</f>
        <v>432</v>
      </c>
    </row>
    <row r="16" spans="1:4" ht="12.75">
      <c r="A16" s="1">
        <v>2</v>
      </c>
      <c r="B16" s="2" t="s">
        <v>16</v>
      </c>
      <c r="C16" s="2" t="s">
        <v>15</v>
      </c>
      <c r="D16" s="3">
        <f>ROUND(154,2)</f>
        <v>154</v>
      </c>
    </row>
    <row r="17" spans="1:4" ht="12.75" customHeight="1">
      <c r="A17" s="1">
        <v>3</v>
      </c>
      <c r="B17" s="2" t="s">
        <v>17</v>
      </c>
      <c r="C17" s="2" t="s">
        <v>18</v>
      </c>
      <c r="D17" s="3">
        <v>390</v>
      </c>
    </row>
    <row r="18" spans="1:4" ht="12.75">
      <c r="A18" s="1">
        <v>4</v>
      </c>
      <c r="B18" s="2" t="s">
        <v>19</v>
      </c>
      <c r="C18" s="2" t="s">
        <v>20</v>
      </c>
      <c r="D18" s="3">
        <v>32</v>
      </c>
    </row>
    <row r="19" spans="1:4" ht="12.75">
      <c r="A19" s="1">
        <v>5</v>
      </c>
      <c r="B19" s="6" t="s">
        <v>535</v>
      </c>
      <c r="C19" s="2" t="s">
        <v>20</v>
      </c>
      <c r="D19" s="3">
        <v>48</v>
      </c>
    </row>
    <row r="20" spans="1:4" ht="12.75">
      <c r="A20" s="1">
        <v>6</v>
      </c>
      <c r="B20" s="2" t="s">
        <v>21</v>
      </c>
      <c r="C20" s="2" t="s">
        <v>20</v>
      </c>
      <c r="D20" s="3">
        <v>24</v>
      </c>
    </row>
    <row r="21" spans="1:4" ht="12.75">
      <c r="A21" s="1">
        <v>7</v>
      </c>
      <c r="B21" s="2" t="s">
        <v>22</v>
      </c>
      <c r="C21" s="2" t="s">
        <v>20</v>
      </c>
      <c r="D21" s="3">
        <v>40</v>
      </c>
    </row>
    <row r="22" spans="1:4" ht="12.75">
      <c r="A22" s="1">
        <v>8</v>
      </c>
      <c r="B22" s="2" t="s">
        <v>23</v>
      </c>
      <c r="C22" s="2" t="s">
        <v>20</v>
      </c>
      <c r="D22" s="3">
        <v>150</v>
      </c>
    </row>
    <row r="23" spans="1:4" ht="12.75">
      <c r="A23" s="1">
        <v>9</v>
      </c>
      <c r="B23" s="2" t="s">
        <v>520</v>
      </c>
      <c r="C23" s="2" t="s">
        <v>20</v>
      </c>
      <c r="D23" s="3">
        <v>131</v>
      </c>
    </row>
    <row r="24" spans="1:4" ht="12.75">
      <c r="A24" s="1">
        <v>10</v>
      </c>
      <c r="B24" s="2" t="s">
        <v>558</v>
      </c>
      <c r="C24" s="2" t="s">
        <v>20</v>
      </c>
      <c r="D24" s="3">
        <v>550</v>
      </c>
    </row>
    <row r="25" spans="1:4" ht="12.75">
      <c r="A25" s="1">
        <v>11</v>
      </c>
      <c r="B25" s="2" t="s">
        <v>559</v>
      </c>
      <c r="C25" s="2" t="s">
        <v>15</v>
      </c>
      <c r="D25" s="3">
        <v>582</v>
      </c>
    </row>
    <row r="26" spans="1:4" ht="12.75">
      <c r="A26" s="1">
        <v>12</v>
      </c>
      <c r="B26" s="2" t="s">
        <v>24</v>
      </c>
      <c r="C26" s="2" t="s">
        <v>25</v>
      </c>
      <c r="D26" s="3">
        <v>238</v>
      </c>
    </row>
    <row r="27" spans="1:4" ht="12.75">
      <c r="A27" s="50"/>
      <c r="B27" s="42"/>
      <c r="C27" s="42"/>
      <c r="D27" s="51"/>
    </row>
    <row r="28" ht="18">
      <c r="B28" s="5" t="s">
        <v>26</v>
      </c>
    </row>
    <row r="29" spans="1:4" ht="12.75">
      <c r="A29" s="2" t="s">
        <v>10</v>
      </c>
      <c r="B29" s="2" t="s">
        <v>11</v>
      </c>
      <c r="C29" s="2" t="s">
        <v>12</v>
      </c>
      <c r="D29" s="2" t="s">
        <v>13</v>
      </c>
    </row>
    <row r="30" spans="1:4" ht="12.75">
      <c r="A30" s="1">
        <v>1</v>
      </c>
      <c r="B30" s="6" t="s">
        <v>27</v>
      </c>
      <c r="C30" s="6" t="s">
        <v>20</v>
      </c>
      <c r="D30" s="7">
        <v>936.4</v>
      </c>
    </row>
    <row r="31" spans="1:4" ht="12.75">
      <c r="A31" s="1">
        <v>2</v>
      </c>
      <c r="B31" s="6" t="s">
        <v>71</v>
      </c>
      <c r="C31" s="6" t="s">
        <v>20</v>
      </c>
      <c r="D31" s="7">
        <v>112.4</v>
      </c>
    </row>
    <row r="32" spans="1:4" ht="12.75">
      <c r="A32" s="1">
        <v>3</v>
      </c>
      <c r="B32" s="6" t="s">
        <v>72</v>
      </c>
      <c r="C32" s="6" t="s">
        <v>20</v>
      </c>
      <c r="D32" s="7">
        <v>96.5</v>
      </c>
    </row>
    <row r="33" spans="1:4" ht="12.75">
      <c r="A33" s="1">
        <v>4</v>
      </c>
      <c r="B33" s="8" t="s">
        <v>64</v>
      </c>
      <c r="C33" s="8" t="s">
        <v>20</v>
      </c>
      <c r="D33" s="7">
        <v>111</v>
      </c>
    </row>
    <row r="34" spans="1:4" ht="12.75">
      <c r="A34" s="1">
        <v>5</v>
      </c>
      <c r="B34" s="8" t="s">
        <v>63</v>
      </c>
      <c r="C34" s="8" t="s">
        <v>20</v>
      </c>
      <c r="D34" s="3">
        <v>120</v>
      </c>
    </row>
    <row r="35" spans="1:4" ht="12.75">
      <c r="A35" s="1">
        <v>6</v>
      </c>
      <c r="B35" s="8" t="s">
        <v>65</v>
      </c>
      <c r="C35" s="8" t="s">
        <v>20</v>
      </c>
      <c r="D35" s="3">
        <v>251.6</v>
      </c>
    </row>
    <row r="36" spans="1:4" ht="12.75">
      <c r="A36" s="1">
        <v>7</v>
      </c>
      <c r="B36" s="8" t="s">
        <v>66</v>
      </c>
      <c r="C36" s="8" t="s">
        <v>20</v>
      </c>
      <c r="D36" s="3">
        <v>121</v>
      </c>
    </row>
    <row r="37" spans="1:4" ht="12.75">
      <c r="A37" s="1">
        <v>8</v>
      </c>
      <c r="B37" s="8" t="s">
        <v>67</v>
      </c>
      <c r="C37" s="8" t="s">
        <v>20</v>
      </c>
      <c r="D37" s="3">
        <v>120</v>
      </c>
    </row>
    <row r="38" spans="1:4" ht="12.75">
      <c r="A38" s="1">
        <v>9</v>
      </c>
      <c r="B38" s="9" t="s">
        <v>538</v>
      </c>
      <c r="C38" s="8" t="s">
        <v>20</v>
      </c>
      <c r="D38" s="3">
        <v>116.8</v>
      </c>
    </row>
    <row r="39" spans="1:4" ht="12.75">
      <c r="A39" s="1">
        <v>10</v>
      </c>
      <c r="B39" s="9" t="s">
        <v>69</v>
      </c>
      <c r="C39" s="8" t="s">
        <v>20</v>
      </c>
      <c r="D39" s="3">
        <v>123.2</v>
      </c>
    </row>
    <row r="40" spans="1:4" ht="12.75">
      <c r="A40" s="1">
        <v>11</v>
      </c>
      <c r="B40" s="6" t="s">
        <v>77</v>
      </c>
      <c r="C40" s="6" t="s">
        <v>20</v>
      </c>
      <c r="D40" s="3">
        <v>10.5</v>
      </c>
    </row>
    <row r="41" spans="1:4" ht="12.75">
      <c r="A41" s="1">
        <v>12</v>
      </c>
      <c r="B41" s="8" t="s">
        <v>30</v>
      </c>
      <c r="C41" s="8" t="s">
        <v>20</v>
      </c>
      <c r="D41" s="7">
        <v>1600</v>
      </c>
    </row>
    <row r="42" spans="1:4" ht="12.75">
      <c r="A42" s="1">
        <v>13</v>
      </c>
      <c r="B42" s="8" t="s">
        <v>28</v>
      </c>
      <c r="C42" s="8" t="s">
        <v>20</v>
      </c>
      <c r="D42" s="7">
        <v>20.2</v>
      </c>
    </row>
    <row r="43" spans="1:4" ht="12.75">
      <c r="A43" s="1">
        <v>14</v>
      </c>
      <c r="B43" s="8" t="s">
        <v>31</v>
      </c>
      <c r="C43" s="8" t="s">
        <v>20</v>
      </c>
      <c r="D43" s="7">
        <v>15.8</v>
      </c>
    </row>
    <row r="44" spans="1:4" ht="12.75">
      <c r="A44" s="1">
        <v>15</v>
      </c>
      <c r="B44" s="8" t="s">
        <v>32</v>
      </c>
      <c r="C44" s="8" t="s">
        <v>20</v>
      </c>
      <c r="D44" s="7">
        <v>33.7</v>
      </c>
    </row>
    <row r="45" spans="1:4" ht="12.75">
      <c r="A45" s="1">
        <v>16</v>
      </c>
      <c r="B45" s="8" t="s">
        <v>33</v>
      </c>
      <c r="C45" s="8" t="s">
        <v>20</v>
      </c>
      <c r="D45" s="7">
        <v>24.8</v>
      </c>
    </row>
    <row r="46" spans="1:4" ht="12.75">
      <c r="A46" s="1">
        <v>17</v>
      </c>
      <c r="B46" s="8" t="s">
        <v>34</v>
      </c>
      <c r="C46" s="8" t="s">
        <v>20</v>
      </c>
      <c r="D46" s="7">
        <v>22.3</v>
      </c>
    </row>
    <row r="47" spans="1:4" ht="12.75">
      <c r="A47" s="1">
        <v>18</v>
      </c>
      <c r="B47" s="8" t="s">
        <v>35</v>
      </c>
      <c r="C47" s="8" t="s">
        <v>20</v>
      </c>
      <c r="D47" s="7">
        <v>9.8</v>
      </c>
    </row>
    <row r="48" spans="1:4" ht="12.75">
      <c r="A48" s="1">
        <v>19</v>
      </c>
      <c r="B48" s="8" t="s">
        <v>36</v>
      </c>
      <c r="C48" s="8" t="s">
        <v>20</v>
      </c>
      <c r="D48" s="7">
        <v>51.1</v>
      </c>
    </row>
    <row r="49" spans="1:4" ht="12.75">
      <c r="A49" s="10">
        <v>20</v>
      </c>
      <c r="B49" s="8" t="s">
        <v>37</v>
      </c>
      <c r="C49" s="8" t="s">
        <v>20</v>
      </c>
      <c r="D49" s="7">
        <v>12.1</v>
      </c>
    </row>
    <row r="50" spans="1:4" ht="12.75">
      <c r="A50" s="10">
        <v>21</v>
      </c>
      <c r="B50" s="8" t="s">
        <v>38</v>
      </c>
      <c r="C50" s="8" t="s">
        <v>20</v>
      </c>
      <c r="D50" s="7">
        <v>10.2</v>
      </c>
    </row>
    <row r="51" spans="1:4" ht="12.75">
      <c r="A51" s="10">
        <v>22</v>
      </c>
      <c r="B51" s="8" t="s">
        <v>38</v>
      </c>
      <c r="C51" s="8" t="s">
        <v>20</v>
      </c>
      <c r="D51" s="7">
        <v>9.1</v>
      </c>
    </row>
    <row r="52" spans="1:4" ht="12.75">
      <c r="A52" s="10">
        <v>23</v>
      </c>
      <c r="B52" s="8" t="s">
        <v>39</v>
      </c>
      <c r="C52" s="8" t="s">
        <v>20</v>
      </c>
      <c r="D52" s="7">
        <v>10.8</v>
      </c>
    </row>
    <row r="53" spans="1:4" ht="12.75">
      <c r="A53" s="10">
        <v>24</v>
      </c>
      <c r="B53" s="8" t="s">
        <v>40</v>
      </c>
      <c r="C53" s="8" t="s">
        <v>20</v>
      </c>
      <c r="D53" s="7">
        <v>22.3</v>
      </c>
    </row>
    <row r="54" spans="1:4" ht="12.75">
      <c r="A54" s="10">
        <v>25</v>
      </c>
      <c r="B54" s="8" t="s">
        <v>41</v>
      </c>
      <c r="C54" s="8" t="s">
        <v>20</v>
      </c>
      <c r="D54" s="7">
        <v>19.7</v>
      </c>
    </row>
    <row r="55" spans="1:4" ht="12.75">
      <c r="A55" s="10">
        <v>26</v>
      </c>
      <c r="B55" s="8" t="s">
        <v>42</v>
      </c>
      <c r="C55" s="8" t="s">
        <v>20</v>
      </c>
      <c r="D55" s="7">
        <v>34.9</v>
      </c>
    </row>
    <row r="56" spans="1:4" ht="12.75">
      <c r="A56" s="10">
        <v>27</v>
      </c>
      <c r="B56" s="8" t="s">
        <v>43</v>
      </c>
      <c r="C56" s="8" t="s">
        <v>20</v>
      </c>
      <c r="D56" s="7">
        <v>46.8</v>
      </c>
    </row>
    <row r="57" spans="1:4" ht="12.75">
      <c r="A57" s="10">
        <v>28</v>
      </c>
      <c r="B57" s="8" t="s">
        <v>44</v>
      </c>
      <c r="C57" s="8" t="s">
        <v>20</v>
      </c>
      <c r="D57" s="7">
        <v>34.6</v>
      </c>
    </row>
    <row r="58" spans="1:4" ht="12.75">
      <c r="A58" s="10">
        <v>29</v>
      </c>
      <c r="B58" s="8" t="s">
        <v>45</v>
      </c>
      <c r="C58" s="8" t="s">
        <v>20</v>
      </c>
      <c r="D58" s="7">
        <v>17.4</v>
      </c>
    </row>
    <row r="59" spans="1:4" ht="12.75">
      <c r="A59" s="10">
        <v>30</v>
      </c>
      <c r="B59" s="8" t="s">
        <v>46</v>
      </c>
      <c r="C59" s="8" t="s">
        <v>20</v>
      </c>
      <c r="D59" s="7">
        <v>24.6</v>
      </c>
    </row>
    <row r="60" spans="1:4" ht="12.75">
      <c r="A60" s="10">
        <v>31</v>
      </c>
      <c r="B60" s="8" t="s">
        <v>47</v>
      </c>
      <c r="C60" s="8" t="s">
        <v>20</v>
      </c>
      <c r="D60" s="7">
        <v>33.1</v>
      </c>
    </row>
    <row r="61" spans="1:4" ht="12.75">
      <c r="A61" s="10">
        <v>32</v>
      </c>
      <c r="B61" s="8" t="s">
        <v>48</v>
      </c>
      <c r="C61" s="8" t="s">
        <v>20</v>
      </c>
      <c r="D61" s="7">
        <v>15.4</v>
      </c>
    </row>
    <row r="62" spans="1:4" ht="12.75">
      <c r="A62" s="10">
        <v>33</v>
      </c>
      <c r="B62" s="8" t="s">
        <v>49</v>
      </c>
      <c r="C62" s="8" t="s">
        <v>20</v>
      </c>
      <c r="D62" s="7">
        <v>15.1</v>
      </c>
    </row>
    <row r="63" spans="1:4" ht="12.75">
      <c r="A63" s="10">
        <v>34</v>
      </c>
      <c r="B63" s="8" t="s">
        <v>50</v>
      </c>
      <c r="C63" s="8" t="s">
        <v>20</v>
      </c>
      <c r="D63" s="7">
        <v>67.7</v>
      </c>
    </row>
    <row r="64" spans="1:4" ht="12.75">
      <c r="A64" s="10">
        <v>35</v>
      </c>
      <c r="B64" s="6" t="s">
        <v>78</v>
      </c>
      <c r="C64" s="6" t="s">
        <v>20</v>
      </c>
      <c r="D64" s="3">
        <v>31</v>
      </c>
    </row>
    <row r="65" spans="1:4" ht="12.75">
      <c r="A65" s="10">
        <v>36</v>
      </c>
      <c r="B65" s="8" t="s">
        <v>58</v>
      </c>
      <c r="C65" s="8" t="s">
        <v>20</v>
      </c>
      <c r="D65" s="7">
        <v>50.1</v>
      </c>
    </row>
    <row r="66" spans="1:4" ht="12.75">
      <c r="A66" s="10">
        <v>37</v>
      </c>
      <c r="B66" s="6" t="s">
        <v>76</v>
      </c>
      <c r="C66" s="6" t="s">
        <v>20</v>
      </c>
      <c r="D66" s="3">
        <f>ROUND(96.4*1.05,1)</f>
        <v>101.2</v>
      </c>
    </row>
    <row r="67" spans="1:4" ht="12.75">
      <c r="A67" s="10">
        <v>38</v>
      </c>
      <c r="B67" s="8" t="s">
        <v>59</v>
      </c>
      <c r="C67" s="8" t="s">
        <v>20</v>
      </c>
      <c r="D67" s="7">
        <v>61.4</v>
      </c>
    </row>
    <row r="68" spans="1:4" ht="12.75">
      <c r="A68" s="10">
        <v>39</v>
      </c>
      <c r="B68" s="8" t="s">
        <v>60</v>
      </c>
      <c r="C68" s="8" t="s">
        <v>20</v>
      </c>
      <c r="D68" s="7">
        <v>283</v>
      </c>
    </row>
    <row r="69" spans="1:4" ht="12.75">
      <c r="A69" s="10">
        <v>40</v>
      </c>
      <c r="B69" s="8" t="s">
        <v>61</v>
      </c>
      <c r="C69" s="8" t="s">
        <v>20</v>
      </c>
      <c r="D69" s="7">
        <v>63.8</v>
      </c>
    </row>
    <row r="70" spans="1:4" ht="12.75">
      <c r="A70" s="10">
        <v>41</v>
      </c>
      <c r="B70" s="8" t="s">
        <v>62</v>
      </c>
      <c r="C70" s="8" t="s">
        <v>20</v>
      </c>
      <c r="D70" s="7">
        <v>66</v>
      </c>
    </row>
    <row r="71" spans="1:4" ht="12.75">
      <c r="A71" s="10">
        <v>42</v>
      </c>
      <c r="B71" s="8" t="s">
        <v>29</v>
      </c>
      <c r="C71" s="8" t="s">
        <v>20</v>
      </c>
      <c r="D71" s="7">
        <v>619.4</v>
      </c>
    </row>
    <row r="72" spans="1:4" ht="12.75">
      <c r="A72" s="10">
        <v>43</v>
      </c>
      <c r="B72" s="8" t="s">
        <v>51</v>
      </c>
      <c r="C72" s="8" t="s">
        <v>20</v>
      </c>
      <c r="D72" s="7">
        <v>50.4</v>
      </c>
    </row>
    <row r="73" spans="1:4" ht="12.75">
      <c r="A73" s="10">
        <v>44</v>
      </c>
      <c r="B73" s="6" t="s">
        <v>68</v>
      </c>
      <c r="C73" s="6" t="s">
        <v>20</v>
      </c>
      <c r="D73" s="3">
        <v>24.4</v>
      </c>
    </row>
    <row r="74" spans="1:4" ht="12.75">
      <c r="A74" s="10">
        <v>45</v>
      </c>
      <c r="B74" s="6" t="s">
        <v>70</v>
      </c>
      <c r="C74" s="6" t="s">
        <v>20</v>
      </c>
      <c r="D74" s="3">
        <v>20.1</v>
      </c>
    </row>
    <row r="75" spans="1:4" ht="12.75">
      <c r="A75" s="10">
        <v>46</v>
      </c>
      <c r="B75" s="6" t="s">
        <v>73</v>
      </c>
      <c r="C75" s="6" t="s">
        <v>20</v>
      </c>
      <c r="D75" s="3">
        <v>309.7</v>
      </c>
    </row>
    <row r="76" spans="1:4" ht="12.75">
      <c r="A76" s="10">
        <v>47</v>
      </c>
      <c r="B76" s="6" t="s">
        <v>74</v>
      </c>
      <c r="C76" s="6" t="s">
        <v>20</v>
      </c>
      <c r="D76" s="3">
        <v>677.1</v>
      </c>
    </row>
    <row r="77" spans="1:4" ht="12.75">
      <c r="A77" s="10">
        <v>48</v>
      </c>
      <c r="B77" s="6" t="s">
        <v>75</v>
      </c>
      <c r="C77" s="6" t="s">
        <v>25</v>
      </c>
      <c r="D77" s="3">
        <v>73.5</v>
      </c>
    </row>
    <row r="78" spans="1:4" ht="12.75">
      <c r="A78" s="10">
        <v>49</v>
      </c>
      <c r="B78" s="8" t="s">
        <v>52</v>
      </c>
      <c r="C78" s="8" t="s">
        <v>20</v>
      </c>
      <c r="D78" s="7">
        <v>452.3</v>
      </c>
    </row>
    <row r="79" spans="1:4" ht="12.75">
      <c r="A79" s="10">
        <v>50</v>
      </c>
      <c r="B79" s="8" t="s">
        <v>53</v>
      </c>
      <c r="C79" s="8" t="s">
        <v>20</v>
      </c>
      <c r="D79" s="7">
        <v>290.3</v>
      </c>
    </row>
    <row r="80" spans="1:4" ht="12.75">
      <c r="A80" s="10">
        <v>51</v>
      </c>
      <c r="B80" s="8" t="s">
        <v>54</v>
      </c>
      <c r="C80" s="8" t="s">
        <v>20</v>
      </c>
      <c r="D80" s="7">
        <v>102.3</v>
      </c>
    </row>
    <row r="81" spans="1:4" ht="12.75">
      <c r="A81" s="10">
        <v>52</v>
      </c>
      <c r="B81" s="8" t="s">
        <v>55</v>
      </c>
      <c r="C81" s="8" t="s">
        <v>20</v>
      </c>
      <c r="D81" s="7">
        <v>178.4</v>
      </c>
    </row>
    <row r="82" spans="1:4" ht="12.75">
      <c r="A82" s="10">
        <v>53</v>
      </c>
      <c r="B82" s="8" t="s">
        <v>56</v>
      </c>
      <c r="C82" s="8" t="s">
        <v>20</v>
      </c>
      <c r="D82" s="7">
        <v>171.8</v>
      </c>
    </row>
    <row r="83" spans="1:4" ht="12.75">
      <c r="A83" s="10">
        <v>54</v>
      </c>
      <c r="B83" s="8" t="s">
        <v>57</v>
      </c>
      <c r="C83" s="8" t="s">
        <v>20</v>
      </c>
      <c r="D83" s="7">
        <v>535.7</v>
      </c>
    </row>
    <row r="84" ht="18">
      <c r="B84" s="5" t="s">
        <v>79</v>
      </c>
    </row>
    <row r="85" spans="1:4" ht="12.75">
      <c r="A85" s="2" t="s">
        <v>10</v>
      </c>
      <c r="B85" s="2" t="s">
        <v>11</v>
      </c>
      <c r="C85" s="2" t="s">
        <v>12</v>
      </c>
      <c r="D85" s="2" t="s">
        <v>13</v>
      </c>
    </row>
    <row r="86" spans="1:4" ht="12.75">
      <c r="A86" s="11">
        <v>1</v>
      </c>
      <c r="B86" s="12" t="s">
        <v>80</v>
      </c>
      <c r="C86" s="13" t="s">
        <v>15</v>
      </c>
      <c r="D86" s="14">
        <v>6</v>
      </c>
    </row>
    <row r="87" spans="1:4" ht="12.75">
      <c r="A87" s="11">
        <v>2</v>
      </c>
      <c r="B87" s="12" t="s">
        <v>81</v>
      </c>
      <c r="C87" s="13" t="s">
        <v>15</v>
      </c>
      <c r="D87" s="14">
        <f aca="true" t="shared" si="0" ref="D87:D99">ROUND(3.9*1.09*1.22*1.18,0)</f>
        <v>6</v>
      </c>
    </row>
    <row r="88" spans="1:4" ht="12.75">
      <c r="A88" s="11">
        <v>3</v>
      </c>
      <c r="B88" s="12" t="s">
        <v>82</v>
      </c>
      <c r="C88" s="13" t="s">
        <v>15</v>
      </c>
      <c r="D88" s="14">
        <v>6</v>
      </c>
    </row>
    <row r="89" spans="1:4" ht="12.75">
      <c r="A89" s="11">
        <v>4</v>
      </c>
      <c r="B89" s="12" t="s">
        <v>83</v>
      </c>
      <c r="C89" s="13" t="s">
        <v>15</v>
      </c>
      <c r="D89" s="14">
        <f t="shared" si="0"/>
        <v>6</v>
      </c>
    </row>
    <row r="90" spans="1:4" ht="12.75">
      <c r="A90" s="11">
        <v>5</v>
      </c>
      <c r="B90" s="12" t="s">
        <v>85</v>
      </c>
      <c r="C90" s="13" t="s">
        <v>15</v>
      </c>
      <c r="D90" s="14">
        <v>6</v>
      </c>
    </row>
    <row r="91" spans="1:4" ht="12.75">
      <c r="A91" s="11">
        <v>6</v>
      </c>
      <c r="B91" s="12" t="s">
        <v>84</v>
      </c>
      <c r="C91" s="13" t="s">
        <v>15</v>
      </c>
      <c r="D91" s="14">
        <f t="shared" si="0"/>
        <v>6</v>
      </c>
    </row>
    <row r="92" spans="1:4" ht="12.75">
      <c r="A92" s="11">
        <v>7</v>
      </c>
      <c r="B92" s="12" t="s">
        <v>86</v>
      </c>
      <c r="C92" s="13" t="s">
        <v>15</v>
      </c>
      <c r="D92" s="14">
        <f t="shared" si="0"/>
        <v>6</v>
      </c>
    </row>
    <row r="93" spans="1:4" ht="12.75">
      <c r="A93" s="11">
        <v>8</v>
      </c>
      <c r="B93" s="12" t="s">
        <v>87</v>
      </c>
      <c r="C93" s="13" t="s">
        <v>15</v>
      </c>
      <c r="D93" s="14">
        <v>6</v>
      </c>
    </row>
    <row r="94" spans="1:4" ht="12.75">
      <c r="A94" s="11">
        <v>9</v>
      </c>
      <c r="B94" s="12" t="s">
        <v>88</v>
      </c>
      <c r="C94" s="13" t="s">
        <v>15</v>
      </c>
      <c r="D94" s="14">
        <f t="shared" si="0"/>
        <v>6</v>
      </c>
    </row>
    <row r="95" spans="1:4" ht="12.75">
      <c r="A95" s="11">
        <v>10</v>
      </c>
      <c r="B95" s="12" t="s">
        <v>89</v>
      </c>
      <c r="C95" s="13" t="s">
        <v>15</v>
      </c>
      <c r="D95" s="14">
        <v>6</v>
      </c>
    </row>
    <row r="96" spans="1:4" ht="12.75">
      <c r="A96" s="11">
        <v>11</v>
      </c>
      <c r="B96" s="12" t="s">
        <v>90</v>
      </c>
      <c r="C96" s="13" t="s">
        <v>15</v>
      </c>
      <c r="D96" s="14">
        <f t="shared" si="0"/>
        <v>6</v>
      </c>
    </row>
    <row r="97" spans="1:4" ht="12.75">
      <c r="A97" s="11">
        <v>12</v>
      </c>
      <c r="B97" s="12" t="s">
        <v>91</v>
      </c>
      <c r="C97" s="13" t="s">
        <v>15</v>
      </c>
      <c r="D97" s="14">
        <v>6</v>
      </c>
    </row>
    <row r="98" spans="1:4" ht="12.75">
      <c r="A98" s="11">
        <v>13</v>
      </c>
      <c r="B98" s="12" t="s">
        <v>92</v>
      </c>
      <c r="C98" s="13" t="s">
        <v>15</v>
      </c>
      <c r="D98" s="14">
        <v>6</v>
      </c>
    </row>
    <row r="99" spans="1:4" ht="12.75">
      <c r="A99" s="11">
        <v>14</v>
      </c>
      <c r="B99" s="12" t="s">
        <v>93</v>
      </c>
      <c r="C99" s="13" t="s">
        <v>15</v>
      </c>
      <c r="D99" s="14">
        <f t="shared" si="0"/>
        <v>6</v>
      </c>
    </row>
    <row r="100" spans="1:4" ht="12.75">
      <c r="A100" s="11">
        <v>15</v>
      </c>
      <c r="B100" s="12" t="s">
        <v>94</v>
      </c>
      <c r="C100" s="13" t="s">
        <v>15</v>
      </c>
      <c r="D100" s="14">
        <v>7</v>
      </c>
    </row>
    <row r="101" spans="1:4" ht="12.75">
      <c r="A101" s="11">
        <v>16</v>
      </c>
      <c r="B101" s="12" t="s">
        <v>95</v>
      </c>
      <c r="C101" s="13" t="s">
        <v>15</v>
      </c>
      <c r="D101" s="14">
        <f>ROUND(4.6*1.09*1.22*1.18,0)</f>
        <v>7</v>
      </c>
    </row>
    <row r="102" spans="1:4" ht="12.75">
      <c r="A102" s="11">
        <v>17</v>
      </c>
      <c r="B102" s="12" t="s">
        <v>96</v>
      </c>
      <c r="C102" s="13" t="s">
        <v>15</v>
      </c>
      <c r="D102" s="14">
        <f>ROUND(4.7*1.09*1.22*1.18,0)</f>
        <v>7</v>
      </c>
    </row>
    <row r="103" spans="1:4" ht="12.75">
      <c r="A103" s="11">
        <v>18</v>
      </c>
      <c r="B103" s="12" t="s">
        <v>97</v>
      </c>
      <c r="C103" s="13" t="s">
        <v>15</v>
      </c>
      <c r="D103" s="14">
        <f>ROUND(4.8*1.09*1.22*1.18,0)</f>
        <v>8</v>
      </c>
    </row>
    <row r="104" spans="1:4" ht="12.75">
      <c r="A104" s="11">
        <v>19</v>
      </c>
      <c r="B104" s="12" t="s">
        <v>98</v>
      </c>
      <c r="C104" s="13" t="s">
        <v>15</v>
      </c>
      <c r="D104" s="14">
        <v>8</v>
      </c>
    </row>
    <row r="105" spans="1:4" ht="12.75">
      <c r="A105" s="11">
        <v>20</v>
      </c>
      <c r="B105" s="12" t="s">
        <v>99</v>
      </c>
      <c r="C105" s="13" t="s">
        <v>15</v>
      </c>
      <c r="D105" s="14">
        <f>ROUND(5.8*1.09*1.22*1.18,0)</f>
        <v>9</v>
      </c>
    </row>
    <row r="106" spans="1:4" ht="12.75">
      <c r="A106" s="11">
        <v>21</v>
      </c>
      <c r="B106" s="12" t="s">
        <v>100</v>
      </c>
      <c r="C106" s="13" t="s">
        <v>15</v>
      </c>
      <c r="D106" s="14">
        <f>ROUND(5.9*1.09*1.22*1.18,0)</f>
        <v>9</v>
      </c>
    </row>
    <row r="107" spans="1:4" ht="12.75">
      <c r="A107" s="11">
        <v>22</v>
      </c>
      <c r="B107" s="12" t="s">
        <v>101</v>
      </c>
      <c r="C107" s="13" t="s">
        <v>15</v>
      </c>
      <c r="D107" s="14">
        <v>9</v>
      </c>
    </row>
    <row r="108" spans="1:4" ht="12.75">
      <c r="A108" s="11">
        <v>23</v>
      </c>
      <c r="B108" s="12" t="s">
        <v>102</v>
      </c>
      <c r="C108" s="13" t="s">
        <v>15</v>
      </c>
      <c r="D108" s="14">
        <v>10</v>
      </c>
    </row>
    <row r="109" spans="1:4" ht="12.75">
      <c r="A109" s="11">
        <v>24</v>
      </c>
      <c r="B109" s="12" t="s">
        <v>103</v>
      </c>
      <c r="C109" s="13" t="s">
        <v>15</v>
      </c>
      <c r="D109" s="14">
        <f>ROUND(6.5*1.09*1.22*1.18,0)</f>
        <v>10</v>
      </c>
    </row>
    <row r="110" spans="1:4" ht="12.75">
      <c r="A110" s="11">
        <v>25</v>
      </c>
      <c r="B110" s="12" t="s">
        <v>104</v>
      </c>
      <c r="C110" s="13" t="s">
        <v>15</v>
      </c>
      <c r="D110" s="14">
        <f>ROUND(6.9*1.09*1.22*1.18,0)</f>
        <v>11</v>
      </c>
    </row>
    <row r="111" spans="1:4" ht="12.75">
      <c r="A111" s="11">
        <v>26</v>
      </c>
      <c r="B111" s="12" t="s">
        <v>105</v>
      </c>
      <c r="C111" s="13" t="s">
        <v>15</v>
      </c>
      <c r="D111" s="14">
        <v>7</v>
      </c>
    </row>
    <row r="112" spans="1:4" ht="12.75">
      <c r="A112" s="11">
        <v>27</v>
      </c>
      <c r="B112" s="12" t="s">
        <v>106</v>
      </c>
      <c r="C112" s="13" t="s">
        <v>15</v>
      </c>
      <c r="D112" s="14">
        <v>7</v>
      </c>
    </row>
    <row r="113" spans="1:4" ht="12.75">
      <c r="A113" s="11">
        <v>28</v>
      </c>
      <c r="B113" s="12" t="s">
        <v>107</v>
      </c>
      <c r="C113" s="13" t="s">
        <v>15</v>
      </c>
      <c r="D113" s="14">
        <v>7</v>
      </c>
    </row>
    <row r="114" spans="1:4" ht="12.75">
      <c r="A114" s="11">
        <v>29</v>
      </c>
      <c r="B114" s="12" t="s">
        <v>108</v>
      </c>
      <c r="C114" s="13" t="s">
        <v>15</v>
      </c>
      <c r="D114" s="14">
        <v>7</v>
      </c>
    </row>
    <row r="115" spans="1:4" ht="12.75">
      <c r="A115" s="11">
        <v>30</v>
      </c>
      <c r="B115" s="12" t="s">
        <v>109</v>
      </c>
      <c r="C115" s="13" t="s">
        <v>15</v>
      </c>
      <c r="D115" s="14">
        <f>ROUND(4.7*1.09*1.22*1.18,0)</f>
        <v>7</v>
      </c>
    </row>
    <row r="116" spans="1:4" ht="12.75">
      <c r="A116" s="11">
        <v>31</v>
      </c>
      <c r="B116" s="12" t="s">
        <v>110</v>
      </c>
      <c r="C116" s="13" t="s">
        <v>15</v>
      </c>
      <c r="D116" s="14">
        <v>8</v>
      </c>
    </row>
    <row r="117" spans="1:4" ht="12.75">
      <c r="A117" s="11">
        <v>32</v>
      </c>
      <c r="B117" s="12" t="s">
        <v>111</v>
      </c>
      <c r="C117" s="13" t="s">
        <v>15</v>
      </c>
      <c r="D117" s="14">
        <f>ROUND(4.8*1.09*1.22*1.18,0)</f>
        <v>8</v>
      </c>
    </row>
    <row r="118" spans="1:4" ht="12.75">
      <c r="A118" s="11">
        <v>33</v>
      </c>
      <c r="B118" s="12" t="s">
        <v>112</v>
      </c>
      <c r="C118" s="13" t="s">
        <v>15</v>
      </c>
      <c r="D118" s="14">
        <f>ROUND(4.9*1.09*1.22*1.18,0)</f>
        <v>8</v>
      </c>
    </row>
    <row r="119" spans="1:4" ht="12.75">
      <c r="A119" s="11">
        <v>34</v>
      </c>
      <c r="B119" s="12" t="s">
        <v>113</v>
      </c>
      <c r="C119" s="13" t="s">
        <v>15</v>
      </c>
      <c r="D119" s="14">
        <v>8</v>
      </c>
    </row>
    <row r="120" spans="1:4" ht="12.75">
      <c r="A120" s="11">
        <v>35</v>
      </c>
      <c r="B120" s="12" t="s">
        <v>114</v>
      </c>
      <c r="C120" s="13" t="s">
        <v>15</v>
      </c>
      <c r="D120" s="14">
        <f>ROUND(5.1*1.09*1.22*1.18,0)</f>
        <v>8</v>
      </c>
    </row>
    <row r="121" spans="1:4" ht="12.75">
      <c r="A121" s="11">
        <v>36</v>
      </c>
      <c r="B121" s="12" t="s">
        <v>115</v>
      </c>
      <c r="C121" s="13" t="s">
        <v>15</v>
      </c>
      <c r="D121" s="14">
        <f>ROUND(5.8*1.09*1.22*1.18,0)</f>
        <v>9</v>
      </c>
    </row>
    <row r="122" spans="1:4" ht="12.75">
      <c r="A122" s="11">
        <v>37</v>
      </c>
      <c r="B122" s="12" t="s">
        <v>116</v>
      </c>
      <c r="C122" s="13" t="s">
        <v>15</v>
      </c>
      <c r="D122" s="14">
        <f>ROUND(5.8*1.09*1.22*1.18,0)</f>
        <v>9</v>
      </c>
    </row>
    <row r="123" spans="1:4" ht="12.75">
      <c r="A123" s="11">
        <v>38</v>
      </c>
      <c r="B123" s="12" t="s">
        <v>117</v>
      </c>
      <c r="C123" s="13" t="s">
        <v>15</v>
      </c>
      <c r="D123" s="14">
        <f>ROUND(5.9*1.09*1.22*1.18,0)</f>
        <v>9</v>
      </c>
    </row>
    <row r="124" spans="1:4" ht="12.75">
      <c r="A124" s="11">
        <v>39</v>
      </c>
      <c r="B124" s="12" t="s">
        <v>118</v>
      </c>
      <c r="C124" s="13" t="s">
        <v>15</v>
      </c>
      <c r="D124" s="14">
        <f>ROUND(6.3*1.09*1.22*1.18,0)</f>
        <v>10</v>
      </c>
    </row>
    <row r="125" spans="1:4" ht="12.75">
      <c r="A125" s="11">
        <v>40</v>
      </c>
      <c r="B125" s="12" t="s">
        <v>119</v>
      </c>
      <c r="C125" s="13" t="s">
        <v>15</v>
      </c>
      <c r="D125" s="14">
        <f>ROUND(6.3*1.09*1.22*1.18,0)</f>
        <v>10</v>
      </c>
    </row>
    <row r="126" spans="1:4" ht="12.75">
      <c r="A126" s="11">
        <v>41</v>
      </c>
      <c r="B126" s="12" t="s">
        <v>120</v>
      </c>
      <c r="C126" s="13" t="s">
        <v>15</v>
      </c>
      <c r="D126" s="14">
        <f>ROUND(4.8*1.09*1.22*1.18,0)</f>
        <v>8</v>
      </c>
    </row>
    <row r="127" spans="1:4" ht="12.75">
      <c r="A127" s="11">
        <v>42</v>
      </c>
      <c r="B127" s="12" t="s">
        <v>121</v>
      </c>
      <c r="C127" s="13" t="s">
        <v>15</v>
      </c>
      <c r="D127" s="14">
        <f>ROUND(4.8*1.09*1.22*1.18,0)</f>
        <v>8</v>
      </c>
    </row>
    <row r="128" spans="1:4" ht="12.75">
      <c r="A128" s="11">
        <v>43</v>
      </c>
      <c r="B128" s="12" t="s">
        <v>122</v>
      </c>
      <c r="C128" s="13" t="s">
        <v>15</v>
      </c>
      <c r="D128" s="14">
        <f>ROUND(4.7*1.09*1.22*1.18,0)</f>
        <v>7</v>
      </c>
    </row>
    <row r="129" spans="1:4" ht="12.75">
      <c r="A129" s="11">
        <v>44</v>
      </c>
      <c r="B129" s="12" t="s">
        <v>123</v>
      </c>
      <c r="C129" s="13" t="s">
        <v>15</v>
      </c>
      <c r="D129" s="14">
        <v>7</v>
      </c>
    </row>
    <row r="130" spans="1:4" ht="12.75">
      <c r="A130" s="11">
        <v>45</v>
      </c>
      <c r="B130" s="12" t="s">
        <v>124</v>
      </c>
      <c r="C130" s="13" t="s">
        <v>15</v>
      </c>
      <c r="D130" s="14">
        <f>ROUND(5.1*1.09*1.22*1.18,0)</f>
        <v>8</v>
      </c>
    </row>
    <row r="131" spans="1:4" ht="12.75">
      <c r="A131" s="11">
        <v>46</v>
      </c>
      <c r="B131" s="12" t="s">
        <v>125</v>
      </c>
      <c r="C131" s="13" t="s">
        <v>15</v>
      </c>
      <c r="D131" s="14">
        <v>8</v>
      </c>
    </row>
    <row r="132" spans="1:4" ht="12.75">
      <c r="A132" s="11">
        <v>47</v>
      </c>
      <c r="B132" s="12" t="s">
        <v>126</v>
      </c>
      <c r="C132" s="13" t="s">
        <v>15</v>
      </c>
      <c r="D132" s="14">
        <f>ROUND(5.1*1.09*1.22*1.18,0)</f>
        <v>8</v>
      </c>
    </row>
    <row r="133" spans="1:4" ht="12.75">
      <c r="A133" s="11">
        <v>48</v>
      </c>
      <c r="B133" s="12" t="s">
        <v>127</v>
      </c>
      <c r="C133" s="13" t="s">
        <v>15</v>
      </c>
      <c r="D133" s="14">
        <v>8</v>
      </c>
    </row>
    <row r="134" spans="1:4" ht="12.75">
      <c r="A134" s="11">
        <v>49</v>
      </c>
      <c r="B134" s="12" t="s">
        <v>128</v>
      </c>
      <c r="C134" s="13" t="s">
        <v>15</v>
      </c>
      <c r="D134" s="14">
        <v>8</v>
      </c>
    </row>
    <row r="135" spans="1:4" ht="12.75">
      <c r="A135" s="11">
        <v>50</v>
      </c>
      <c r="B135" s="12" t="s">
        <v>129</v>
      </c>
      <c r="C135" s="13" t="s">
        <v>15</v>
      </c>
      <c r="D135" s="14">
        <f>ROUND(5.2*1.09*1.22*1.18,0)</f>
        <v>8</v>
      </c>
    </row>
    <row r="136" spans="1:4" ht="12.75">
      <c r="A136" s="11">
        <v>51</v>
      </c>
      <c r="B136" s="12" t="s">
        <v>130</v>
      </c>
      <c r="C136" s="13" t="s">
        <v>15</v>
      </c>
      <c r="D136" s="14">
        <v>8</v>
      </c>
    </row>
    <row r="137" spans="1:4" ht="12.75">
      <c r="A137" s="11">
        <v>52</v>
      </c>
      <c r="B137" s="12" t="s">
        <v>131</v>
      </c>
      <c r="C137" s="13" t="s">
        <v>15</v>
      </c>
      <c r="D137" s="14">
        <v>8</v>
      </c>
    </row>
    <row r="138" spans="1:4" ht="12.75">
      <c r="A138" s="11">
        <v>53</v>
      </c>
      <c r="B138" s="12" t="s">
        <v>132</v>
      </c>
      <c r="C138" s="13" t="s">
        <v>15</v>
      </c>
      <c r="D138" s="14">
        <v>10</v>
      </c>
    </row>
    <row r="139" spans="1:4" ht="12.75">
      <c r="A139" s="11">
        <v>54</v>
      </c>
      <c r="B139" s="12" t="s">
        <v>133</v>
      </c>
      <c r="C139" s="13" t="s">
        <v>15</v>
      </c>
      <c r="D139" s="14">
        <f>ROUND(7.4*1.09*1.22*1.18,0)</f>
        <v>12</v>
      </c>
    </row>
    <row r="140" spans="1:4" ht="12.75">
      <c r="A140" s="11">
        <v>55</v>
      </c>
      <c r="B140" s="12" t="s">
        <v>134</v>
      </c>
      <c r="C140" s="13" t="s">
        <v>15</v>
      </c>
      <c r="D140" s="14">
        <v>10</v>
      </c>
    </row>
    <row r="141" spans="1:4" ht="12.75">
      <c r="A141" s="11">
        <v>56</v>
      </c>
      <c r="B141" s="12" t="s">
        <v>135</v>
      </c>
      <c r="C141" s="13" t="s">
        <v>15</v>
      </c>
      <c r="D141" s="14">
        <v>10</v>
      </c>
    </row>
    <row r="142" spans="1:4" ht="12.75">
      <c r="A142" s="11">
        <v>57</v>
      </c>
      <c r="B142" s="12" t="s">
        <v>136</v>
      </c>
      <c r="C142" s="13" t="s">
        <v>15</v>
      </c>
      <c r="D142" s="14">
        <f>ROUND(4.3*1.09*1.22*1.18,0)</f>
        <v>7</v>
      </c>
    </row>
    <row r="143" spans="1:4" ht="12.75">
      <c r="A143" s="11">
        <v>58</v>
      </c>
      <c r="B143" s="12" t="s">
        <v>137</v>
      </c>
      <c r="C143" s="13" t="s">
        <v>15</v>
      </c>
      <c r="D143" s="14">
        <f>ROUND(4.4*1.09*1.22*1.18,0)</f>
        <v>7</v>
      </c>
    </row>
    <row r="144" spans="1:4" ht="12.75">
      <c r="A144" s="11">
        <v>59</v>
      </c>
      <c r="B144" s="12" t="s">
        <v>138</v>
      </c>
      <c r="C144" s="13" t="s">
        <v>15</v>
      </c>
      <c r="D144" s="14">
        <f>ROUND(5.9*1.09*1.22*1.18,0)</f>
        <v>9</v>
      </c>
    </row>
    <row r="145" spans="1:4" ht="12.75">
      <c r="A145" s="11">
        <v>60</v>
      </c>
      <c r="B145" s="12" t="s">
        <v>139</v>
      </c>
      <c r="C145" s="13" t="s">
        <v>15</v>
      </c>
      <c r="D145" s="14">
        <f>ROUND(6.1*1.09*1.22*1.18,0)</f>
        <v>10</v>
      </c>
    </row>
    <row r="146" spans="1:4" ht="12.75">
      <c r="A146" s="11">
        <v>61</v>
      </c>
      <c r="B146" s="12" t="s">
        <v>140</v>
      </c>
      <c r="C146" s="13" t="s">
        <v>15</v>
      </c>
      <c r="D146" s="14">
        <v>10</v>
      </c>
    </row>
    <row r="147" spans="1:4" ht="12.75">
      <c r="A147" s="11">
        <v>62</v>
      </c>
      <c r="B147" s="12" t="s">
        <v>141</v>
      </c>
      <c r="C147" s="13" t="s">
        <v>15</v>
      </c>
      <c r="D147" s="14">
        <f>ROUND(6.2*1.09*1.22*1.18,0)</f>
        <v>10</v>
      </c>
    </row>
    <row r="148" spans="1:4" ht="12.75">
      <c r="A148" s="11">
        <v>63</v>
      </c>
      <c r="B148" s="12" t="s">
        <v>142</v>
      </c>
      <c r="C148" s="13" t="s">
        <v>15</v>
      </c>
      <c r="D148" s="14">
        <f>ROUND(6.3*1.09*1.22*1.18,0)</f>
        <v>10</v>
      </c>
    </row>
    <row r="149" spans="1:4" ht="12.75">
      <c r="A149" s="11">
        <v>64</v>
      </c>
      <c r="B149" s="12" t="s">
        <v>143</v>
      </c>
      <c r="C149" s="13" t="s">
        <v>15</v>
      </c>
      <c r="D149" s="14">
        <f>ROUND(6.4*1.09*1.22*1.18,0)</f>
        <v>10</v>
      </c>
    </row>
    <row r="150" spans="1:4" ht="12.75">
      <c r="A150" s="11">
        <v>65</v>
      </c>
      <c r="B150" s="12" t="s">
        <v>144</v>
      </c>
      <c r="C150" s="13" t="s">
        <v>15</v>
      </c>
      <c r="D150" s="14">
        <v>11</v>
      </c>
    </row>
    <row r="151" spans="1:4" ht="12.75">
      <c r="A151" s="11">
        <v>66</v>
      </c>
      <c r="B151" s="12" t="s">
        <v>145</v>
      </c>
      <c r="C151" s="13" t="s">
        <v>15</v>
      </c>
      <c r="D151" s="14">
        <f>ROUND(7.1*1.09*1.22*1.18,0)</f>
        <v>11</v>
      </c>
    </row>
    <row r="152" spans="1:4" ht="12.75">
      <c r="A152" s="11">
        <v>67</v>
      </c>
      <c r="B152" s="12" t="s">
        <v>146</v>
      </c>
      <c r="C152" s="13" t="s">
        <v>15</v>
      </c>
      <c r="D152" s="14">
        <v>11</v>
      </c>
    </row>
    <row r="153" spans="1:4" ht="12.75">
      <c r="A153" s="11">
        <v>68</v>
      </c>
      <c r="B153" s="12" t="s">
        <v>147</v>
      </c>
      <c r="C153" s="13" t="s">
        <v>15</v>
      </c>
      <c r="D153" s="14">
        <v>11</v>
      </c>
    </row>
    <row r="154" spans="1:4" ht="12.75">
      <c r="A154" s="11">
        <v>69</v>
      </c>
      <c r="B154" s="12" t="s">
        <v>148</v>
      </c>
      <c r="C154" s="13" t="s">
        <v>15</v>
      </c>
      <c r="D154" s="14">
        <v>12</v>
      </c>
    </row>
    <row r="155" spans="1:4" ht="12.75">
      <c r="A155" s="11">
        <v>70</v>
      </c>
      <c r="B155" s="12" t="s">
        <v>149</v>
      </c>
      <c r="C155" s="13" t="s">
        <v>15</v>
      </c>
      <c r="D155" s="14">
        <v>13</v>
      </c>
    </row>
    <row r="156" spans="1:4" ht="12.75">
      <c r="A156" s="11">
        <v>71</v>
      </c>
      <c r="B156" s="12" t="s">
        <v>150</v>
      </c>
      <c r="C156" s="13" t="s">
        <v>15</v>
      </c>
      <c r="D156" s="14">
        <v>24</v>
      </c>
    </row>
    <row r="157" spans="1:4" ht="12.75">
      <c r="A157" s="11">
        <v>72</v>
      </c>
      <c r="B157" s="12" t="s">
        <v>151</v>
      </c>
      <c r="C157" s="13" t="s">
        <v>15</v>
      </c>
      <c r="D157" s="14">
        <f>ROUND(7.3*1.09*1.22*1.18,0)</f>
        <v>11</v>
      </c>
    </row>
    <row r="158" spans="1:4" ht="12.75">
      <c r="A158" s="11">
        <v>73</v>
      </c>
      <c r="B158" s="12" t="s">
        <v>152</v>
      </c>
      <c r="C158" s="13" t="s">
        <v>15</v>
      </c>
      <c r="D158" s="14">
        <f>ROUND(4.3*1.09*1.22*1.18,0)</f>
        <v>7</v>
      </c>
    </row>
    <row r="159" spans="1:4" ht="12.75">
      <c r="A159" s="11">
        <v>74</v>
      </c>
      <c r="B159" s="12" t="s">
        <v>153</v>
      </c>
      <c r="C159" s="13" t="s">
        <v>15</v>
      </c>
      <c r="D159" s="14">
        <v>7</v>
      </c>
    </row>
    <row r="160" spans="1:4" ht="12.75">
      <c r="A160" s="11">
        <v>75</v>
      </c>
      <c r="B160" s="12" t="s">
        <v>154</v>
      </c>
      <c r="C160" s="13" t="s">
        <v>15</v>
      </c>
      <c r="D160" s="14">
        <v>10</v>
      </c>
    </row>
    <row r="161" spans="1:4" ht="12.75">
      <c r="A161" s="11">
        <v>76</v>
      </c>
      <c r="B161" s="12" t="s">
        <v>155</v>
      </c>
      <c r="C161" s="13" t="s">
        <v>15</v>
      </c>
      <c r="D161" s="14">
        <f>ROUND(7.8*1.09*1.22*1.18,0)</f>
        <v>12</v>
      </c>
    </row>
    <row r="162" spans="1:4" ht="12.75">
      <c r="A162" s="11">
        <v>77</v>
      </c>
      <c r="B162" s="12" t="s">
        <v>156</v>
      </c>
      <c r="C162" s="13" t="s">
        <v>15</v>
      </c>
      <c r="D162" s="14">
        <f>ROUND(8.5*1.09*1.22*1.18,0)</f>
        <v>13</v>
      </c>
    </row>
    <row r="163" spans="1:2" ht="18">
      <c r="A163" s="5" t="s">
        <v>193</v>
      </c>
      <c r="B163" s="5"/>
    </row>
    <row r="164" spans="1:4" ht="12.75">
      <c r="A164" s="2" t="s">
        <v>10</v>
      </c>
      <c r="B164" s="2" t="s">
        <v>11</v>
      </c>
      <c r="C164" s="2" t="s">
        <v>12</v>
      </c>
      <c r="D164" s="2" t="s">
        <v>13</v>
      </c>
    </row>
    <row r="165" spans="1:4" ht="12.75">
      <c r="A165" s="2">
        <v>1</v>
      </c>
      <c r="B165" s="38" t="s">
        <v>496</v>
      </c>
      <c r="C165" s="6" t="s">
        <v>15</v>
      </c>
      <c r="D165" s="3">
        <v>8</v>
      </c>
    </row>
    <row r="166" spans="1:4" ht="12.75" customHeight="1">
      <c r="A166" s="11">
        <v>2</v>
      </c>
      <c r="B166" s="39" t="s">
        <v>157</v>
      </c>
      <c r="C166" s="13" t="s">
        <v>15</v>
      </c>
      <c r="D166" s="14">
        <v>7.5</v>
      </c>
    </row>
    <row r="167" spans="1:4" ht="12.75">
      <c r="A167" s="11">
        <v>3</v>
      </c>
      <c r="B167" s="39" t="s">
        <v>158</v>
      </c>
      <c r="C167" s="13" t="s">
        <v>20</v>
      </c>
      <c r="D167" s="14">
        <v>5</v>
      </c>
    </row>
    <row r="168" spans="1:4" ht="12.75">
      <c r="A168" s="11">
        <v>4</v>
      </c>
      <c r="B168" s="40" t="s">
        <v>546</v>
      </c>
      <c r="C168" s="16" t="s">
        <v>15</v>
      </c>
      <c r="D168" s="14">
        <v>7</v>
      </c>
    </row>
    <row r="169" spans="1:4" ht="12.75">
      <c r="A169" s="11">
        <v>5</v>
      </c>
      <c r="B169" s="40" t="s">
        <v>161</v>
      </c>
      <c r="C169" s="13" t="s">
        <v>15</v>
      </c>
      <c r="D169" s="14">
        <v>8</v>
      </c>
    </row>
    <row r="170" spans="1:4" ht="12.75">
      <c r="A170" s="11">
        <v>6</v>
      </c>
      <c r="B170" s="41" t="s">
        <v>545</v>
      </c>
      <c r="C170" s="16" t="s">
        <v>15</v>
      </c>
      <c r="D170" s="14">
        <v>8</v>
      </c>
    </row>
    <row r="171" spans="1:4" ht="12.75">
      <c r="A171" s="11">
        <v>7</v>
      </c>
      <c r="B171" s="15" t="s">
        <v>504</v>
      </c>
      <c r="C171" s="13" t="s">
        <v>15</v>
      </c>
      <c r="D171" s="14">
        <v>8</v>
      </c>
    </row>
    <row r="172" spans="1:4" ht="12.75">
      <c r="A172" s="11">
        <v>8</v>
      </c>
      <c r="B172" s="15" t="s">
        <v>163</v>
      </c>
      <c r="C172" s="13" t="s">
        <v>20</v>
      </c>
      <c r="D172" s="14">
        <v>13</v>
      </c>
    </row>
    <row r="173" spans="1:4" ht="12.75">
      <c r="A173" s="11">
        <v>9</v>
      </c>
      <c r="B173" s="40" t="s">
        <v>164</v>
      </c>
      <c r="C173" s="13" t="s">
        <v>15</v>
      </c>
      <c r="D173" s="14">
        <v>8</v>
      </c>
    </row>
    <row r="174" spans="1:4" ht="12.75">
      <c r="A174" s="11">
        <v>10</v>
      </c>
      <c r="B174" s="40" t="s">
        <v>165</v>
      </c>
      <c r="C174" s="13" t="s">
        <v>15</v>
      </c>
      <c r="D174" s="14">
        <v>15</v>
      </c>
    </row>
    <row r="175" spans="1:4" ht="12.75">
      <c r="A175" s="11">
        <v>11</v>
      </c>
      <c r="B175" s="40" t="s">
        <v>498</v>
      </c>
      <c r="C175" s="13" t="s">
        <v>20</v>
      </c>
      <c r="D175" s="14">
        <v>17</v>
      </c>
    </row>
    <row r="176" spans="1:4" ht="12.75">
      <c r="A176" s="11">
        <v>12</v>
      </c>
      <c r="B176" s="40" t="s">
        <v>166</v>
      </c>
      <c r="C176" s="13" t="s">
        <v>15</v>
      </c>
      <c r="D176" s="14">
        <v>13</v>
      </c>
    </row>
    <row r="177" spans="1:4" ht="12.75">
      <c r="A177" s="11">
        <v>13</v>
      </c>
      <c r="B177" s="15" t="s">
        <v>168</v>
      </c>
      <c r="C177" s="13" t="s">
        <v>20</v>
      </c>
      <c r="D177" s="14">
        <v>9</v>
      </c>
    </row>
    <row r="178" spans="1:4" ht="12.75">
      <c r="A178" s="11">
        <v>14</v>
      </c>
      <c r="B178" s="39" t="s">
        <v>159</v>
      </c>
      <c r="C178" s="13" t="s">
        <v>15</v>
      </c>
      <c r="D178" s="14">
        <v>10</v>
      </c>
    </row>
    <row r="179" spans="1:4" ht="12.75">
      <c r="A179" s="11">
        <v>15</v>
      </c>
      <c r="B179" s="40" t="s">
        <v>169</v>
      </c>
      <c r="C179" s="13" t="s">
        <v>15</v>
      </c>
      <c r="D179" s="14">
        <v>15</v>
      </c>
    </row>
    <row r="180" spans="1:4" ht="12.75">
      <c r="A180" s="11">
        <v>16</v>
      </c>
      <c r="B180" s="40" t="s">
        <v>160</v>
      </c>
      <c r="C180" s="13" t="s">
        <v>15</v>
      </c>
      <c r="D180" s="14">
        <v>15</v>
      </c>
    </row>
    <row r="181" spans="1:4" ht="12.75">
      <c r="A181" s="11">
        <v>17</v>
      </c>
      <c r="B181" s="39" t="s">
        <v>170</v>
      </c>
      <c r="C181" s="13" t="s">
        <v>15</v>
      </c>
      <c r="D181" s="14">
        <v>16</v>
      </c>
    </row>
    <row r="182" spans="1:4" ht="12.75">
      <c r="A182" s="11">
        <v>18</v>
      </c>
      <c r="B182" s="39" t="s">
        <v>171</v>
      </c>
      <c r="C182" s="13" t="s">
        <v>20</v>
      </c>
      <c r="D182" s="14">
        <v>14</v>
      </c>
    </row>
    <row r="183" spans="1:4" ht="12.75">
      <c r="A183" s="11">
        <v>19</v>
      </c>
      <c r="B183" s="39" t="s">
        <v>506</v>
      </c>
      <c r="C183" s="13" t="s">
        <v>20</v>
      </c>
      <c r="D183" s="14">
        <v>20</v>
      </c>
    </row>
    <row r="184" spans="1:4" ht="12.75">
      <c r="A184" s="11">
        <v>20</v>
      </c>
      <c r="B184" s="40" t="s">
        <v>174</v>
      </c>
      <c r="C184" s="13" t="s">
        <v>20</v>
      </c>
      <c r="D184" s="14">
        <v>22</v>
      </c>
    </row>
    <row r="185" spans="1:4" ht="12.75">
      <c r="A185" s="11">
        <v>21</v>
      </c>
      <c r="B185" s="40" t="s">
        <v>172</v>
      </c>
      <c r="C185" s="13" t="s">
        <v>15</v>
      </c>
      <c r="D185" s="14">
        <v>20</v>
      </c>
    </row>
    <row r="186" spans="1:4" ht="12.75">
      <c r="A186" s="11">
        <v>22</v>
      </c>
      <c r="B186" s="40" t="s">
        <v>173</v>
      </c>
      <c r="C186" s="13" t="s">
        <v>15</v>
      </c>
      <c r="D186" s="14">
        <v>20</v>
      </c>
    </row>
    <row r="187" spans="1:4" ht="12.75">
      <c r="A187" s="11">
        <v>23</v>
      </c>
      <c r="B187" s="40" t="s">
        <v>177</v>
      </c>
      <c r="C187" s="13" t="s">
        <v>20</v>
      </c>
      <c r="D187" s="14">
        <v>20</v>
      </c>
    </row>
    <row r="188" spans="1:4" ht="12.75">
      <c r="A188" s="11">
        <v>24</v>
      </c>
      <c r="B188" s="40" t="s">
        <v>499</v>
      </c>
      <c r="C188" s="13" t="s">
        <v>20</v>
      </c>
      <c r="D188" s="14">
        <v>20</v>
      </c>
    </row>
    <row r="189" spans="1:4" ht="12.75">
      <c r="A189" s="11">
        <v>25</v>
      </c>
      <c r="B189" s="40" t="s">
        <v>181</v>
      </c>
      <c r="C189" s="13" t="s">
        <v>20</v>
      </c>
      <c r="D189" s="14">
        <v>16</v>
      </c>
    </row>
    <row r="190" spans="1:4" ht="12.75">
      <c r="A190" s="11">
        <v>26</v>
      </c>
      <c r="B190" s="40" t="s">
        <v>162</v>
      </c>
      <c r="C190" s="13" t="s">
        <v>15</v>
      </c>
      <c r="D190" s="14">
        <v>16</v>
      </c>
    </row>
    <row r="191" spans="1:4" ht="12.75">
      <c r="A191" s="11">
        <v>27</v>
      </c>
      <c r="B191" s="40" t="s">
        <v>175</v>
      </c>
      <c r="C191" s="13" t="s">
        <v>15</v>
      </c>
      <c r="D191" s="14">
        <v>10</v>
      </c>
    </row>
    <row r="192" spans="1:4" ht="12.75">
      <c r="A192" s="11">
        <v>28</v>
      </c>
      <c r="B192" s="40" t="s">
        <v>186</v>
      </c>
      <c r="C192" s="13" t="s">
        <v>20</v>
      </c>
      <c r="D192" s="14">
        <v>10</v>
      </c>
    </row>
    <row r="193" spans="1:4" ht="12.75">
      <c r="A193" s="11">
        <v>29</v>
      </c>
      <c r="B193" s="40" t="s">
        <v>176</v>
      </c>
      <c r="C193" s="13" t="s">
        <v>15</v>
      </c>
      <c r="D193" s="14">
        <v>10</v>
      </c>
    </row>
    <row r="194" spans="1:4" ht="12.75">
      <c r="A194" s="11">
        <v>30</v>
      </c>
      <c r="B194" s="40" t="s">
        <v>505</v>
      </c>
      <c r="C194" s="13" t="s">
        <v>20</v>
      </c>
      <c r="D194" s="14">
        <v>12</v>
      </c>
    </row>
    <row r="195" spans="1:4" ht="12.75">
      <c r="A195" s="11">
        <v>31</v>
      </c>
      <c r="B195" s="40" t="s">
        <v>500</v>
      </c>
      <c r="C195" s="13" t="s">
        <v>20</v>
      </c>
      <c r="D195" s="14">
        <v>12</v>
      </c>
    </row>
    <row r="196" spans="1:4" ht="12.75">
      <c r="A196" s="11">
        <v>32</v>
      </c>
      <c r="B196" s="40" t="s">
        <v>178</v>
      </c>
      <c r="C196" s="13" t="s">
        <v>15</v>
      </c>
      <c r="D196" s="14">
        <v>17</v>
      </c>
    </row>
    <row r="197" spans="1:4" ht="12.75">
      <c r="A197" s="11">
        <v>33</v>
      </c>
      <c r="B197" s="39" t="s">
        <v>501</v>
      </c>
      <c r="C197" s="13" t="s">
        <v>20</v>
      </c>
      <c r="D197" s="14">
        <v>20</v>
      </c>
    </row>
    <row r="198" spans="1:4" ht="12.75">
      <c r="A198" s="11">
        <v>34</v>
      </c>
      <c r="B198" s="39" t="s">
        <v>502</v>
      </c>
      <c r="C198" s="13" t="s">
        <v>20</v>
      </c>
      <c r="D198" s="14">
        <v>20</v>
      </c>
    </row>
    <row r="199" spans="1:4" ht="12.75">
      <c r="A199" s="11">
        <v>35</v>
      </c>
      <c r="B199" s="39" t="s">
        <v>503</v>
      </c>
      <c r="C199" s="13" t="s">
        <v>20</v>
      </c>
      <c r="D199" s="14">
        <v>22</v>
      </c>
    </row>
    <row r="200" spans="1:4" ht="12.75">
      <c r="A200" s="11">
        <v>36</v>
      </c>
      <c r="B200" s="40" t="s">
        <v>179</v>
      </c>
      <c r="C200" s="13" t="s">
        <v>15</v>
      </c>
      <c r="D200" s="14">
        <v>11</v>
      </c>
    </row>
    <row r="201" spans="1:4" ht="12.75">
      <c r="A201" s="11">
        <v>37</v>
      </c>
      <c r="B201" s="40" t="s">
        <v>180</v>
      </c>
      <c r="C201" s="13" t="s">
        <v>15</v>
      </c>
      <c r="D201" s="14">
        <v>11</v>
      </c>
    </row>
    <row r="202" spans="1:4" ht="12.75">
      <c r="A202" s="11">
        <v>38</v>
      </c>
      <c r="B202" s="40" t="s">
        <v>182</v>
      </c>
      <c r="C202" s="13" t="s">
        <v>15</v>
      </c>
      <c r="D202" s="14">
        <v>16</v>
      </c>
    </row>
    <row r="203" spans="1:4" ht="12.75">
      <c r="A203" s="11">
        <v>39</v>
      </c>
      <c r="B203" s="40" t="s">
        <v>183</v>
      </c>
      <c r="C203" s="13" t="s">
        <v>15</v>
      </c>
      <c r="D203" s="14">
        <v>18</v>
      </c>
    </row>
    <row r="204" spans="1:4" ht="12.75">
      <c r="A204" s="11">
        <v>40</v>
      </c>
      <c r="B204" s="40" t="s">
        <v>184</v>
      </c>
      <c r="C204" s="13" t="s">
        <v>15</v>
      </c>
      <c r="D204" s="14">
        <v>19</v>
      </c>
    </row>
    <row r="205" spans="1:4" ht="12.75">
      <c r="A205" s="11">
        <v>41</v>
      </c>
      <c r="B205" s="40" t="s">
        <v>185</v>
      </c>
      <c r="C205" s="13" t="s">
        <v>15</v>
      </c>
      <c r="D205" s="14">
        <v>20</v>
      </c>
    </row>
    <row r="206" spans="1:4" ht="12.75">
      <c r="A206" s="11">
        <v>42</v>
      </c>
      <c r="B206" s="40" t="s">
        <v>187</v>
      </c>
      <c r="C206" s="13" t="s">
        <v>15</v>
      </c>
      <c r="D206" s="14">
        <v>22</v>
      </c>
    </row>
    <row r="207" spans="1:4" ht="12.75">
      <c r="A207" s="11">
        <v>43</v>
      </c>
      <c r="B207" s="39" t="s">
        <v>497</v>
      </c>
      <c r="C207" s="13" t="s">
        <v>20</v>
      </c>
      <c r="D207" s="14">
        <v>25</v>
      </c>
    </row>
    <row r="208" spans="1:4" ht="12.75" customHeight="1">
      <c r="A208" s="11">
        <v>44</v>
      </c>
      <c r="B208" s="39" t="s">
        <v>189</v>
      </c>
      <c r="C208" s="13" t="s">
        <v>20</v>
      </c>
      <c r="D208" s="14">
        <v>30</v>
      </c>
    </row>
    <row r="209" spans="1:4" ht="12.75" customHeight="1">
      <c r="A209" s="11">
        <v>45</v>
      </c>
      <c r="B209" s="39" t="s">
        <v>533</v>
      </c>
      <c r="C209" s="13" t="s">
        <v>20</v>
      </c>
      <c r="D209" s="14">
        <v>30</v>
      </c>
    </row>
    <row r="210" spans="1:4" ht="12.75">
      <c r="A210" s="11">
        <v>46</v>
      </c>
      <c r="B210" s="18" t="s">
        <v>190</v>
      </c>
      <c r="C210" s="17" t="s">
        <v>15</v>
      </c>
      <c r="D210" s="14">
        <v>44</v>
      </c>
    </row>
    <row r="211" spans="1:4" ht="12.75">
      <c r="A211" s="11"/>
      <c r="B211" s="18" t="s">
        <v>560</v>
      </c>
      <c r="C211" s="16" t="s">
        <v>15</v>
      </c>
      <c r="D211" s="14">
        <v>25</v>
      </c>
    </row>
    <row r="212" spans="1:4" ht="12.75">
      <c r="A212" s="11"/>
      <c r="B212" s="18" t="s">
        <v>561</v>
      </c>
      <c r="C212" s="16" t="s">
        <v>15</v>
      </c>
      <c r="D212" s="14">
        <v>30</v>
      </c>
    </row>
    <row r="213" spans="1:4" ht="12.75">
      <c r="A213" s="11">
        <v>47</v>
      </c>
      <c r="B213" s="18" t="s">
        <v>544</v>
      </c>
      <c r="C213" s="16" t="s">
        <v>15</v>
      </c>
      <c r="D213" s="14">
        <v>30</v>
      </c>
    </row>
    <row r="214" spans="1:4" ht="12.75">
      <c r="A214" s="11"/>
      <c r="B214" s="18" t="s">
        <v>562</v>
      </c>
      <c r="C214" s="16" t="s">
        <v>15</v>
      </c>
      <c r="D214" s="14">
        <v>47</v>
      </c>
    </row>
    <row r="215" spans="1:4" ht="12.75">
      <c r="A215" s="11"/>
      <c r="B215" s="18" t="s">
        <v>563</v>
      </c>
      <c r="C215" s="16" t="s">
        <v>15</v>
      </c>
      <c r="D215" s="14">
        <v>57</v>
      </c>
    </row>
    <row r="216" spans="1:4" ht="12.75">
      <c r="A216" s="11">
        <v>48</v>
      </c>
      <c r="B216" s="40" t="s">
        <v>191</v>
      </c>
      <c r="C216" s="16" t="s">
        <v>20</v>
      </c>
      <c r="D216" s="14">
        <v>32</v>
      </c>
    </row>
    <row r="217" spans="1:4" ht="12.75">
      <c r="A217" s="11">
        <v>49</v>
      </c>
      <c r="B217" s="40" t="s">
        <v>167</v>
      </c>
      <c r="C217" s="16" t="s">
        <v>15</v>
      </c>
      <c r="D217" s="14">
        <v>30</v>
      </c>
    </row>
    <row r="218" spans="1:4" ht="12.75">
      <c r="A218" s="11">
        <v>50</v>
      </c>
      <c r="B218" s="39" t="s">
        <v>188</v>
      </c>
      <c r="C218" s="13" t="s">
        <v>15</v>
      </c>
      <c r="D218" s="14">
        <v>50</v>
      </c>
    </row>
    <row r="219" spans="1:4" ht="12.75">
      <c r="A219" s="11">
        <v>51</v>
      </c>
      <c r="B219" s="40" t="s">
        <v>534</v>
      </c>
      <c r="C219" s="17" t="s">
        <v>15</v>
      </c>
      <c r="D219" s="14">
        <v>14</v>
      </c>
    </row>
    <row r="220" spans="1:4" ht="12.75">
      <c r="A220" s="11">
        <v>52</v>
      </c>
      <c r="B220" s="18" t="s">
        <v>537</v>
      </c>
      <c r="C220" s="17" t="s">
        <v>15</v>
      </c>
      <c r="D220" s="14">
        <f>ROUND(5.3*1.09*1.22*1.18,0)</f>
        <v>8</v>
      </c>
    </row>
    <row r="221" spans="1:4" ht="12.75">
      <c r="A221" s="11">
        <v>53</v>
      </c>
      <c r="B221" s="18" t="s">
        <v>192</v>
      </c>
      <c r="C221" s="16" t="s">
        <v>15</v>
      </c>
      <c r="D221" s="14">
        <f>ROUND(5.9*1.09*1.22*1.18,0)</f>
        <v>9</v>
      </c>
    </row>
    <row r="222" spans="1:4" ht="12.75">
      <c r="A222" s="21">
        <v>54</v>
      </c>
      <c r="B222" s="21" t="s">
        <v>214</v>
      </c>
      <c r="C222" s="21" t="s">
        <v>20</v>
      </c>
      <c r="D222" s="21">
        <f>ROUND(9*1.18*1.18,2)</f>
        <v>12.53</v>
      </c>
    </row>
    <row r="223" spans="1:4" ht="12.75">
      <c r="A223" s="8">
        <v>55</v>
      </c>
      <c r="B223" s="8" t="s">
        <v>270</v>
      </c>
      <c r="C223" s="8" t="s">
        <v>20</v>
      </c>
      <c r="D223" s="8">
        <f>ROUND(8*1.18*1.18,2)</f>
        <v>11.14</v>
      </c>
    </row>
    <row r="224" spans="1:4" ht="12.75">
      <c r="A224" s="21">
        <v>56</v>
      </c>
      <c r="B224" s="8" t="s">
        <v>271</v>
      </c>
      <c r="C224" s="8" t="s">
        <v>20</v>
      </c>
      <c r="D224" s="8">
        <f>ROUND(20*1.18*1.18,2)</f>
        <v>27.85</v>
      </c>
    </row>
    <row r="225" spans="1:4" ht="12.75">
      <c r="A225" s="8">
        <v>57</v>
      </c>
      <c r="B225" s="8" t="s">
        <v>215</v>
      </c>
      <c r="C225" s="8" t="s">
        <v>20</v>
      </c>
      <c r="D225" s="8">
        <f>ROUND(25*1.18*1.18,2)</f>
        <v>34.81</v>
      </c>
    </row>
    <row r="226" spans="1:4" ht="12.75">
      <c r="A226" s="8">
        <v>58</v>
      </c>
      <c r="B226" s="8" t="s">
        <v>216</v>
      </c>
      <c r="C226" s="8" t="s">
        <v>20</v>
      </c>
      <c r="D226" s="8">
        <f>ROUND(30*1.18*1.18,2)</f>
        <v>41.77</v>
      </c>
    </row>
    <row r="227" spans="1:2" ht="18">
      <c r="A227" s="8"/>
      <c r="B227" s="4" t="s">
        <v>194</v>
      </c>
    </row>
    <row r="228" spans="1:4" ht="12.75">
      <c r="A228" s="2"/>
      <c r="B228" s="19" t="s">
        <v>195</v>
      </c>
      <c r="C228" s="2"/>
      <c r="D228" s="2"/>
    </row>
    <row r="229" spans="1:4" ht="12.75">
      <c r="A229" s="2">
        <v>1</v>
      </c>
      <c r="B229" s="9" t="s">
        <v>196</v>
      </c>
      <c r="C229" s="6" t="s">
        <v>20</v>
      </c>
      <c r="D229" s="2">
        <f>ROUND(1810*1.18,0)</f>
        <v>2136</v>
      </c>
    </row>
    <row r="230" spans="1:4" ht="12.75">
      <c r="A230" s="2">
        <v>2</v>
      </c>
      <c r="B230" s="8" t="s">
        <v>547</v>
      </c>
      <c r="C230" s="2" t="s">
        <v>20</v>
      </c>
      <c r="D230" s="2">
        <f>ROUND(1000*1.18*1.05,0)</f>
        <v>1239</v>
      </c>
    </row>
    <row r="231" spans="1:4" ht="12.75">
      <c r="A231" s="2">
        <v>3</v>
      </c>
      <c r="B231" s="8" t="s">
        <v>557</v>
      </c>
      <c r="C231" s="2" t="s">
        <v>20</v>
      </c>
      <c r="D231" s="2">
        <f>ROUND(858*1.18*1.05,0)</f>
        <v>1063</v>
      </c>
    </row>
    <row r="232" spans="1:4" ht="12.75">
      <c r="A232" s="2">
        <v>4</v>
      </c>
      <c r="B232" s="8" t="s">
        <v>548</v>
      </c>
      <c r="C232" s="2" t="s">
        <v>20</v>
      </c>
      <c r="D232" s="2">
        <f>ROUND(1057*1.18*1.05,0)</f>
        <v>1310</v>
      </c>
    </row>
    <row r="233" spans="1:4" ht="12.75">
      <c r="A233" s="2">
        <v>5</v>
      </c>
      <c r="B233" s="8" t="s">
        <v>272</v>
      </c>
      <c r="C233" s="2" t="s">
        <v>20</v>
      </c>
      <c r="D233" s="2">
        <f>ROUND(2470*1.18*1.05,0)</f>
        <v>3060</v>
      </c>
    </row>
    <row r="234" spans="1:4" ht="12.75">
      <c r="A234" s="2"/>
      <c r="B234" s="20" t="s">
        <v>198</v>
      </c>
      <c r="C234" s="2"/>
      <c r="D234" s="2"/>
    </row>
    <row r="235" spans="1:4" ht="12.75">
      <c r="A235" s="2">
        <v>1</v>
      </c>
      <c r="B235" s="8" t="s">
        <v>199</v>
      </c>
      <c r="C235" s="2"/>
      <c r="D235" s="2"/>
    </row>
    <row r="236" spans="1:4" ht="12.75">
      <c r="A236" s="2"/>
      <c r="B236" s="8" t="s">
        <v>200</v>
      </c>
      <c r="C236" s="2" t="s">
        <v>18</v>
      </c>
      <c r="D236" s="2">
        <f>ROUND(5500*1.05,0)</f>
        <v>5775</v>
      </c>
    </row>
    <row r="237" spans="1:4" ht="12.75">
      <c r="A237" s="2">
        <v>2</v>
      </c>
      <c r="B237" s="8" t="s">
        <v>201</v>
      </c>
      <c r="C237" s="2" t="s">
        <v>202</v>
      </c>
      <c r="D237" s="2">
        <f>ROUND(1277*1.18*1.05,0)</f>
        <v>1582</v>
      </c>
    </row>
    <row r="238" spans="1:4" ht="12.75">
      <c r="A238" s="2">
        <v>3</v>
      </c>
      <c r="B238" s="8" t="s">
        <v>203</v>
      </c>
      <c r="C238" s="2" t="s">
        <v>20</v>
      </c>
      <c r="D238" s="2">
        <f>ROUND(5.8,0)</f>
        <v>6</v>
      </c>
    </row>
    <row r="239" spans="1:4" ht="12.75">
      <c r="A239" s="2">
        <v>4</v>
      </c>
      <c r="B239" s="8" t="s">
        <v>204</v>
      </c>
      <c r="C239" s="2" t="s">
        <v>20</v>
      </c>
      <c r="D239" s="2">
        <f>ROUND(8.5,0)</f>
        <v>9</v>
      </c>
    </row>
    <row r="240" spans="1:4" ht="12.75">
      <c r="A240" s="2">
        <v>5</v>
      </c>
      <c r="B240" s="8" t="s">
        <v>205</v>
      </c>
      <c r="C240" s="2" t="s">
        <v>20</v>
      </c>
      <c r="D240" s="2">
        <f>ROUND(17.7,0)</f>
        <v>18</v>
      </c>
    </row>
    <row r="241" spans="1:4" ht="12.75">
      <c r="A241" s="2">
        <v>6</v>
      </c>
      <c r="B241" s="9" t="s">
        <v>206</v>
      </c>
      <c r="C241" s="6" t="s">
        <v>20</v>
      </c>
      <c r="D241" s="2">
        <f>ROUND(8.8,0)</f>
        <v>9</v>
      </c>
    </row>
    <row r="242" spans="1:4" ht="12.75">
      <c r="A242" s="2">
        <v>7</v>
      </c>
      <c r="B242" s="9" t="s">
        <v>207</v>
      </c>
      <c r="C242" s="6" t="s">
        <v>20</v>
      </c>
      <c r="D242" s="2">
        <v>12</v>
      </c>
    </row>
    <row r="243" spans="1:4" ht="12.75">
      <c r="A243" s="2">
        <v>8</v>
      </c>
      <c r="B243" s="8" t="s">
        <v>273</v>
      </c>
      <c r="C243" s="2" t="s">
        <v>202</v>
      </c>
      <c r="D243" s="2">
        <f>ROUND(1805*1.05,0)</f>
        <v>1895</v>
      </c>
    </row>
    <row r="244" spans="1:4" ht="12.75">
      <c r="A244" s="2"/>
      <c r="B244" s="20" t="s">
        <v>208</v>
      </c>
      <c r="C244" s="2"/>
      <c r="D244" s="2"/>
    </row>
    <row r="245" spans="1:4" ht="12.75">
      <c r="A245" s="2">
        <v>1</v>
      </c>
      <c r="B245" s="8" t="s">
        <v>274</v>
      </c>
      <c r="C245" s="2" t="s">
        <v>20</v>
      </c>
      <c r="D245" s="2">
        <f>ROUND(1352*1.18*1.05,0)</f>
        <v>1675</v>
      </c>
    </row>
    <row r="246" spans="1:4" ht="12.75">
      <c r="A246" s="2">
        <v>2</v>
      </c>
      <c r="B246" s="8" t="s">
        <v>275</v>
      </c>
      <c r="C246" s="2" t="s">
        <v>20</v>
      </c>
      <c r="D246" s="2">
        <f>ROUND(2800*1.05,0)</f>
        <v>2940</v>
      </c>
    </row>
    <row r="247" spans="1:4" ht="12.75">
      <c r="A247" s="2"/>
      <c r="B247" s="2"/>
      <c r="C247" s="2"/>
      <c r="D247" s="2"/>
    </row>
    <row r="248" spans="1:4" ht="12.75">
      <c r="A248" s="2">
        <v>1</v>
      </c>
      <c r="B248" s="2" t="s">
        <v>209</v>
      </c>
      <c r="C248" s="2" t="s">
        <v>20</v>
      </c>
      <c r="D248" s="2">
        <f>ROUND(6259*1.18*1.05,0)</f>
        <v>7755</v>
      </c>
    </row>
    <row r="249" spans="1:4" ht="12.75">
      <c r="A249" s="2"/>
      <c r="B249" s="2"/>
      <c r="C249" s="2"/>
      <c r="D249" s="2"/>
    </row>
    <row r="250" spans="1:4" ht="12.75">
      <c r="A250" s="2">
        <v>1</v>
      </c>
      <c r="B250" s="2" t="s">
        <v>276</v>
      </c>
      <c r="C250" s="2" t="s">
        <v>20</v>
      </c>
      <c r="D250" s="2">
        <f>ROUND(3326*1.18*1.05,0)</f>
        <v>4121</v>
      </c>
    </row>
    <row r="251" spans="1:4" ht="12.75">
      <c r="A251" s="2"/>
      <c r="B251" s="20" t="s">
        <v>210</v>
      </c>
      <c r="C251" s="2"/>
      <c r="D251" s="2"/>
    </row>
    <row r="252" spans="1:4" ht="12.75">
      <c r="A252" s="6">
        <v>1</v>
      </c>
      <c r="B252" s="9" t="s">
        <v>211</v>
      </c>
      <c r="C252" s="6" t="s">
        <v>20</v>
      </c>
      <c r="D252" s="6">
        <f>ROUND(735*1.18*1.05,0)</f>
        <v>911</v>
      </c>
    </row>
    <row r="253" spans="1:4" ht="12.75">
      <c r="A253" s="6">
        <v>2</v>
      </c>
      <c r="B253" s="9" t="s">
        <v>212</v>
      </c>
      <c r="C253" s="6" t="s">
        <v>20</v>
      </c>
      <c r="D253" s="6">
        <f>ROUND(1449*1.18*1.05,0)</f>
        <v>1795</v>
      </c>
    </row>
    <row r="254" spans="1:4" ht="12.75">
      <c r="A254" s="6">
        <v>3</v>
      </c>
      <c r="B254" s="9" t="s">
        <v>277</v>
      </c>
      <c r="C254" s="6" t="s">
        <v>20</v>
      </c>
      <c r="D254" s="6">
        <f>ROUND(3754*1.18*1.05,0)</f>
        <v>4651</v>
      </c>
    </row>
    <row r="255" spans="1:4" ht="12.75">
      <c r="A255" s="6">
        <v>4</v>
      </c>
      <c r="B255" s="9" t="s">
        <v>213</v>
      </c>
      <c r="C255" s="6" t="s">
        <v>20</v>
      </c>
      <c r="D255" s="6">
        <f>ROUND(27*1.18,0)</f>
        <v>32</v>
      </c>
    </row>
    <row r="256" spans="1:4" ht="18">
      <c r="A256" s="26"/>
      <c r="B256" s="27" t="s">
        <v>268</v>
      </c>
      <c r="C256" s="6"/>
      <c r="D256" s="6"/>
    </row>
    <row r="257" spans="2:4" ht="12.75">
      <c r="B257" s="2" t="s">
        <v>217</v>
      </c>
      <c r="C257" s="2" t="s">
        <v>218</v>
      </c>
      <c r="D257" s="2" t="s">
        <v>269</v>
      </c>
    </row>
    <row r="258" spans="2:4" ht="12.75">
      <c r="B258" s="22" t="s">
        <v>219</v>
      </c>
      <c r="C258" s="23"/>
      <c r="D258" s="24"/>
    </row>
    <row r="259" spans="2:4" ht="12.75">
      <c r="B259" s="2" t="s">
        <v>220</v>
      </c>
      <c r="C259" s="2">
        <f>(1+0.5)*2-1+5+2</f>
        <v>9</v>
      </c>
      <c r="D259" s="2">
        <f>ROUND(1225*1.12,0)</f>
        <v>1372</v>
      </c>
    </row>
    <row r="260" spans="2:4" ht="12.75">
      <c r="B260" s="9" t="s">
        <v>221</v>
      </c>
      <c r="C260" s="2">
        <f>(1+0.5)*3-1+5+2</f>
        <v>10.5</v>
      </c>
      <c r="D260" s="2">
        <f>ROUND(1309*1.12,0)</f>
        <v>1466</v>
      </c>
    </row>
    <row r="261" spans="2:4" ht="12.75">
      <c r="B261" s="9" t="s">
        <v>222</v>
      </c>
      <c r="C261" s="2">
        <f>(1+0.5)*4-1+5+2</f>
        <v>12</v>
      </c>
      <c r="D261" s="9">
        <f>ROUND(1485*1.12,0)</f>
        <v>1663</v>
      </c>
    </row>
    <row r="262" spans="2:4" ht="12.75">
      <c r="B262" s="8" t="s">
        <v>223</v>
      </c>
      <c r="C262" s="2">
        <f>(1+0.5)*5-1+5+2</f>
        <v>13.5</v>
      </c>
      <c r="D262" s="8">
        <f>ROUND(1639*1.12,0)</f>
        <v>1836</v>
      </c>
    </row>
    <row r="263" spans="2:4" ht="12.75">
      <c r="B263" s="8" t="s">
        <v>224</v>
      </c>
      <c r="C263" s="2">
        <f>(1+0.5)*6-1+5+2</f>
        <v>15</v>
      </c>
      <c r="D263" s="8">
        <f>ROUND(1716*1.12,0)</f>
        <v>1922</v>
      </c>
    </row>
    <row r="264" spans="2:4" ht="12.75">
      <c r="B264" s="8" t="s">
        <v>225</v>
      </c>
      <c r="C264" s="2">
        <f>(1+0.5)*7-1+5+2</f>
        <v>16.5</v>
      </c>
      <c r="D264" s="8">
        <f>ROUND(1826*1.12,0)</f>
        <v>2045</v>
      </c>
    </row>
    <row r="265" spans="2:4" ht="12.75">
      <c r="B265" s="25" t="s">
        <v>226</v>
      </c>
      <c r="C265" s="23"/>
      <c r="D265" s="24"/>
    </row>
    <row r="266" spans="2:4" ht="12.75">
      <c r="B266" s="8" t="s">
        <v>227</v>
      </c>
      <c r="C266" s="2">
        <f>(1+0.5)*2-1+6+2</f>
        <v>10</v>
      </c>
      <c r="D266" s="2">
        <f>ROUND(1370*1.12,0)</f>
        <v>1534</v>
      </c>
    </row>
    <row r="267" spans="2:4" ht="12.75">
      <c r="B267" s="8" t="s">
        <v>228</v>
      </c>
      <c r="C267" s="2">
        <f>(1+0.5)*3-1+6+2</f>
        <v>11.5</v>
      </c>
      <c r="D267" s="2">
        <f>ROUND(1441*1.12,0)</f>
        <v>1614</v>
      </c>
    </row>
    <row r="268" spans="2:4" ht="12.75">
      <c r="B268" s="8" t="s">
        <v>229</v>
      </c>
      <c r="C268" s="2">
        <f>(1+0.5)*4-1+6+2</f>
        <v>13</v>
      </c>
      <c r="D268" s="2">
        <f>ROUND(1672*1.12,0)</f>
        <v>1873</v>
      </c>
    </row>
    <row r="269" spans="2:4" ht="12.75">
      <c r="B269" s="8" t="s">
        <v>230</v>
      </c>
      <c r="C269" s="2">
        <f>(1+0.5)*5-1+6+2</f>
        <v>14.5</v>
      </c>
      <c r="D269" s="2">
        <f>ROUND(1730*1.12,0)</f>
        <v>1938</v>
      </c>
    </row>
    <row r="270" spans="2:4" ht="12.75">
      <c r="B270" s="8" t="s">
        <v>231</v>
      </c>
      <c r="C270" s="2">
        <f>(1+0.5)*6-1+6+2</f>
        <v>16</v>
      </c>
      <c r="D270" s="2">
        <f>ROUND(1814*1.12*1.18,0)</f>
        <v>2397</v>
      </c>
    </row>
    <row r="271" spans="2:4" ht="12.75">
      <c r="B271" s="8" t="s">
        <v>232</v>
      </c>
      <c r="C271" s="2">
        <f>(1+0.5)*7-1+6+2</f>
        <v>17.5</v>
      </c>
      <c r="D271" s="2">
        <f>ROUND(1881*1.12,0)</f>
        <v>2107</v>
      </c>
    </row>
    <row r="272" spans="2:4" ht="12.75">
      <c r="B272" s="25" t="s">
        <v>233</v>
      </c>
      <c r="C272" s="23"/>
      <c r="D272" s="24"/>
    </row>
    <row r="273" spans="2:4" ht="12.75">
      <c r="B273" s="8" t="s">
        <v>234</v>
      </c>
      <c r="C273" s="2">
        <f>(1+0.5)*2-1+4.5+3.5</f>
        <v>10</v>
      </c>
      <c r="D273" s="2">
        <f>ROUND(2145*1.12,0)</f>
        <v>2402</v>
      </c>
    </row>
    <row r="274" spans="2:4" ht="12.75">
      <c r="B274" s="8" t="s">
        <v>235</v>
      </c>
      <c r="C274" s="2">
        <f>(1+0.5)*3-1+4.5+3.5</f>
        <v>11.5</v>
      </c>
      <c r="D274" s="2">
        <f>ROUND(2310*1.12,0)</f>
        <v>2587</v>
      </c>
    </row>
    <row r="275" spans="2:4" ht="12.75">
      <c r="B275" s="8" t="s">
        <v>236</v>
      </c>
      <c r="C275" s="2">
        <f>(1+0.5)*4-1+4.5+3.5</f>
        <v>13</v>
      </c>
      <c r="D275" s="2">
        <f>ROUND(2475*1.12,0)</f>
        <v>2772</v>
      </c>
    </row>
    <row r="276" spans="2:4" ht="12.75">
      <c r="B276" s="8" t="s">
        <v>237</v>
      </c>
      <c r="C276" s="2">
        <f>(1+0.5)*5-1+4.5+3.5</f>
        <v>14.5</v>
      </c>
      <c r="D276" s="2">
        <f>ROUND(3135*1.12,0)</f>
        <v>3511</v>
      </c>
    </row>
    <row r="277" spans="2:4" ht="12.75">
      <c r="B277" s="8" t="s">
        <v>238</v>
      </c>
      <c r="C277" s="2">
        <f>(1+0.5)*6-1+4.5+3.5</f>
        <v>16</v>
      </c>
      <c r="D277" s="2">
        <f>ROUND(3586*1.12,0)</f>
        <v>4016</v>
      </c>
    </row>
    <row r="278" spans="2:4" ht="12.75">
      <c r="B278" s="8" t="s">
        <v>239</v>
      </c>
      <c r="C278" s="2">
        <f>(1+0.5)*7-1+4.5+3.5</f>
        <v>17.5</v>
      </c>
      <c r="D278" s="2">
        <f>ROUND(3927*1.12,0)</f>
        <v>4398</v>
      </c>
    </row>
    <row r="279" spans="2:4" ht="12.75">
      <c r="B279" s="25" t="s">
        <v>240</v>
      </c>
      <c r="C279" s="23"/>
      <c r="D279" s="24"/>
    </row>
    <row r="280" spans="2:4" ht="12.75">
      <c r="B280" s="8" t="s">
        <v>241</v>
      </c>
      <c r="C280" s="2">
        <f>(1+0.5)*2-1+2+0</f>
        <v>4</v>
      </c>
      <c r="D280" s="2">
        <f>ROUND(715*1.12,0)</f>
        <v>801</v>
      </c>
    </row>
    <row r="281" spans="2:4" ht="12.75">
      <c r="B281" s="8" t="s">
        <v>242</v>
      </c>
      <c r="C281" s="2">
        <f>(1+0.5)*3-1+2+0</f>
        <v>5.5</v>
      </c>
      <c r="D281" s="2">
        <f>ROUND(891*1.12,0)</f>
        <v>998</v>
      </c>
    </row>
    <row r="282" spans="2:4" ht="12.75">
      <c r="B282" s="8" t="s">
        <v>243</v>
      </c>
      <c r="C282" s="2">
        <f>(1+0.5)*4-1+2+0</f>
        <v>7</v>
      </c>
      <c r="D282" s="2">
        <f>ROUND(1089*1.12,0)</f>
        <v>1220</v>
      </c>
    </row>
    <row r="283" spans="2:4" ht="12.75">
      <c r="B283" s="8" t="s">
        <v>244</v>
      </c>
      <c r="C283" s="2">
        <f>(1+0.5)*5-1+2+0</f>
        <v>8.5</v>
      </c>
      <c r="D283" s="2">
        <f>ROUND(1161*1.12,0)</f>
        <v>1300</v>
      </c>
    </row>
    <row r="284" spans="2:4" ht="12.75">
      <c r="B284" s="8" t="s">
        <v>245</v>
      </c>
      <c r="C284" s="2">
        <f>(1+0.5)*6-1+2+0</f>
        <v>10</v>
      </c>
      <c r="D284" s="2">
        <f>ROUND(1370*1.12,0)</f>
        <v>1534</v>
      </c>
    </row>
    <row r="285" spans="2:4" ht="12.75">
      <c r="B285" s="8" t="s">
        <v>246</v>
      </c>
      <c r="C285" s="2">
        <f>(1+0.5)*7-1+2+0</f>
        <v>11.5</v>
      </c>
      <c r="D285" s="2">
        <f>ROUND(1634*1.12,0)</f>
        <v>1830</v>
      </c>
    </row>
    <row r="286" spans="2:4" ht="12.75">
      <c r="B286" s="25" t="s">
        <v>247</v>
      </c>
      <c r="C286" s="23"/>
      <c r="D286" s="24"/>
    </row>
    <row r="287" spans="2:4" ht="12.75">
      <c r="B287" s="8" t="s">
        <v>248</v>
      </c>
      <c r="C287" s="2">
        <f>(1+0.5)*2-1+3+1</f>
        <v>6</v>
      </c>
      <c r="D287" s="2">
        <f>ROUND(825*1.12,0)</f>
        <v>924</v>
      </c>
    </row>
    <row r="288" spans="2:4" ht="12.75">
      <c r="B288" s="8" t="s">
        <v>249</v>
      </c>
      <c r="C288" s="2">
        <f>(1+0.5)*3-1+3+1</f>
        <v>7.5</v>
      </c>
      <c r="D288" s="2">
        <f>ROUND(1062*1.12,0)</f>
        <v>1189</v>
      </c>
    </row>
    <row r="289" spans="2:4" ht="12.75">
      <c r="B289" s="8" t="s">
        <v>250</v>
      </c>
      <c r="C289" s="2">
        <f>(1+0.5)*4-1+3+1</f>
        <v>9</v>
      </c>
      <c r="D289" s="2">
        <f>ROUND(1186*1.12,0)</f>
        <v>1328</v>
      </c>
    </row>
    <row r="290" spans="2:4" ht="12.75">
      <c r="B290" s="8" t="s">
        <v>251</v>
      </c>
      <c r="C290" s="2">
        <f>(1+0.5)*5-1+3+1</f>
        <v>10.5</v>
      </c>
      <c r="D290" s="2">
        <f>ROUND(1286*1.12,0)</f>
        <v>1440</v>
      </c>
    </row>
    <row r="291" spans="2:4" ht="12.75">
      <c r="B291" s="8" t="s">
        <v>252</v>
      </c>
      <c r="C291" s="2">
        <f>(1+0.5)*6-1+3+1</f>
        <v>12</v>
      </c>
      <c r="D291" s="2">
        <f>ROUND(1452*1.12,0)</f>
        <v>1626</v>
      </c>
    </row>
    <row r="292" spans="2:4" ht="12.75">
      <c r="B292" s="8" t="s">
        <v>253</v>
      </c>
      <c r="C292" s="2">
        <f>(1+0.5)*7-1+3+1</f>
        <v>13.5</v>
      </c>
      <c r="D292" s="2">
        <f>ROUND(1632*1.12,0)</f>
        <v>1828</v>
      </c>
    </row>
    <row r="293" spans="2:4" ht="12.75">
      <c r="B293" s="25" t="s">
        <v>254</v>
      </c>
      <c r="C293" s="23"/>
      <c r="D293" s="24"/>
    </row>
    <row r="294" spans="2:4" ht="12.75">
      <c r="B294" s="8" t="s">
        <v>255</v>
      </c>
      <c r="C294" s="2">
        <f>(1+0.5)*2-1+3+1</f>
        <v>6</v>
      </c>
      <c r="D294" s="2">
        <f>ROUND(1284*1.12,0)</f>
        <v>1438</v>
      </c>
    </row>
    <row r="295" spans="2:4" ht="12.75">
      <c r="B295" s="8" t="s">
        <v>256</v>
      </c>
      <c r="C295" s="2">
        <f>(1+0.5)*3-1+3+1</f>
        <v>7.5</v>
      </c>
      <c r="D295" s="2">
        <f>ROUND(1441*1.12,0)</f>
        <v>1614</v>
      </c>
    </row>
    <row r="296" spans="2:4" ht="12.75">
      <c r="B296" s="8" t="s">
        <v>257</v>
      </c>
      <c r="C296" s="2">
        <f>(1+0.5)*4-1+3+1</f>
        <v>9</v>
      </c>
      <c r="D296" s="2">
        <f>ROUND(1614*1.12,0)</f>
        <v>1808</v>
      </c>
    </row>
    <row r="297" spans="2:4" ht="12.75">
      <c r="B297" s="8" t="s">
        <v>258</v>
      </c>
      <c r="C297" s="2">
        <f>(1+0.5)*5-1+3+1</f>
        <v>10.5</v>
      </c>
      <c r="D297" s="2">
        <f>ROUND(1856*1.12,0)</f>
        <v>2079</v>
      </c>
    </row>
    <row r="298" spans="2:4" ht="12.75">
      <c r="B298" s="8" t="s">
        <v>259</v>
      </c>
      <c r="C298" s="2">
        <f>(1+0.5)*6-1+3+1</f>
        <v>12</v>
      </c>
      <c r="D298" s="2">
        <f>ROUND(1978*1.12,0)</f>
        <v>2215</v>
      </c>
    </row>
    <row r="299" spans="2:4" ht="12.75">
      <c r="B299" s="8" t="s">
        <v>260</v>
      </c>
      <c r="C299" s="2">
        <f>(1+0.5)*7-1+3+1</f>
        <v>13.5</v>
      </c>
      <c r="D299" s="2">
        <f>ROUND(2140*1.12,0)</f>
        <v>2397</v>
      </c>
    </row>
    <row r="300" spans="2:4" ht="12.75">
      <c r="B300" s="25" t="s">
        <v>261</v>
      </c>
      <c r="C300" s="23"/>
      <c r="D300" s="24"/>
    </row>
    <row r="301" spans="2:4" ht="12.75">
      <c r="B301" s="8" t="s">
        <v>262</v>
      </c>
      <c r="C301" s="2">
        <f>(1+0.5)*2-1+2+0</f>
        <v>4</v>
      </c>
      <c r="D301" s="2">
        <f>ROUND(1040*1.12,0)</f>
        <v>1165</v>
      </c>
    </row>
    <row r="302" spans="2:4" ht="12.75">
      <c r="B302" s="8" t="s">
        <v>263</v>
      </c>
      <c r="C302" s="2">
        <f>(1+0.5)*3-1+2+0</f>
        <v>5.5</v>
      </c>
      <c r="D302" s="2">
        <f>ROUND(1184*1.12,0)</f>
        <v>1326</v>
      </c>
    </row>
    <row r="303" spans="2:4" ht="12.75">
      <c r="B303" s="8" t="s">
        <v>264</v>
      </c>
      <c r="C303" s="2">
        <f>(1+0.5)*4-1+2+0</f>
        <v>7</v>
      </c>
      <c r="D303" s="2">
        <f>ROUND(1306*1.12,0)</f>
        <v>1463</v>
      </c>
    </row>
    <row r="304" spans="2:4" ht="12.75">
      <c r="B304" s="8" t="s">
        <v>265</v>
      </c>
      <c r="C304" s="2">
        <f>(1+0.5)*5-1+2+0</f>
        <v>8.5</v>
      </c>
      <c r="D304" s="2">
        <f>ROUND(1572*1.12,0)</f>
        <v>1761</v>
      </c>
    </row>
    <row r="305" spans="2:4" ht="12.75">
      <c r="B305" s="8" t="s">
        <v>266</v>
      </c>
      <c r="C305" s="2">
        <f>(1+0.5)*6-1+2+0</f>
        <v>10</v>
      </c>
      <c r="D305" s="2">
        <f>ROUND(1846*1.12,0)</f>
        <v>2068</v>
      </c>
    </row>
    <row r="306" spans="2:4" ht="12.75">
      <c r="B306" s="8" t="s">
        <v>267</v>
      </c>
      <c r="C306" s="2">
        <f>(1+0.5)*7-1+2+0</f>
        <v>11.5</v>
      </c>
      <c r="D306" s="2">
        <f>ROUND(1968*1.12,0)</f>
        <v>2204</v>
      </c>
    </row>
    <row r="307" spans="2:4" ht="18">
      <c r="B307" s="5" t="s">
        <v>507</v>
      </c>
      <c r="C307" s="42"/>
      <c r="D307" s="42"/>
    </row>
    <row r="308" spans="2:4" ht="12.75">
      <c r="B308" s="34" t="s">
        <v>217</v>
      </c>
      <c r="C308" s="43" t="s">
        <v>519</v>
      </c>
      <c r="D308" s="36" t="s">
        <v>517</v>
      </c>
    </row>
    <row r="309" spans="2:4" ht="12.75">
      <c r="B309" s="46"/>
      <c r="C309" s="44" t="s">
        <v>518</v>
      </c>
      <c r="D309" s="35" t="s">
        <v>516</v>
      </c>
    </row>
    <row r="310" spans="2:4" ht="12.75">
      <c r="B310" s="45" t="s">
        <v>508</v>
      </c>
      <c r="C310" s="35">
        <v>125</v>
      </c>
      <c r="D310" s="35">
        <v>148</v>
      </c>
    </row>
    <row r="311" spans="2:4" ht="12.75">
      <c r="B311" s="9" t="s">
        <v>509</v>
      </c>
      <c r="C311" s="2">
        <v>140</v>
      </c>
      <c r="D311" s="2">
        <v>166</v>
      </c>
    </row>
    <row r="312" spans="2:4" ht="12.75">
      <c r="B312" s="9" t="s">
        <v>510</v>
      </c>
      <c r="C312" s="2">
        <v>150</v>
      </c>
      <c r="D312" s="2">
        <v>178</v>
      </c>
    </row>
    <row r="313" spans="2:4" ht="12.75">
      <c r="B313" s="9" t="s">
        <v>511</v>
      </c>
      <c r="C313" s="2">
        <v>170</v>
      </c>
      <c r="D313" s="2">
        <v>202</v>
      </c>
    </row>
    <row r="314" spans="2:4" ht="12.75">
      <c r="B314" s="9" t="s">
        <v>512</v>
      </c>
      <c r="C314" s="2">
        <v>175</v>
      </c>
      <c r="D314" s="2">
        <v>208</v>
      </c>
    </row>
    <row r="315" spans="2:4" ht="12.75">
      <c r="B315" s="9" t="s">
        <v>513</v>
      </c>
      <c r="C315" s="2">
        <v>200</v>
      </c>
      <c r="D315" s="2">
        <v>237</v>
      </c>
    </row>
    <row r="316" spans="2:4" ht="12.75">
      <c r="B316" s="9" t="s">
        <v>514</v>
      </c>
      <c r="C316" s="2">
        <v>250</v>
      </c>
      <c r="D316" s="2">
        <v>297</v>
      </c>
    </row>
    <row r="317" spans="2:4" ht="12.75">
      <c r="B317" s="9" t="s">
        <v>515</v>
      </c>
      <c r="C317" s="2">
        <v>300</v>
      </c>
      <c r="D317" s="2">
        <v>356</v>
      </c>
    </row>
    <row r="318" ht="12.75">
      <c r="B318" s="4" t="s">
        <v>278</v>
      </c>
    </row>
    <row r="319" spans="1:4" ht="12.75">
      <c r="A319" s="6" t="s">
        <v>279</v>
      </c>
      <c r="B319" s="6" t="s">
        <v>280</v>
      </c>
      <c r="C319" s="6" t="s">
        <v>281</v>
      </c>
      <c r="D319" s="6" t="s">
        <v>282</v>
      </c>
    </row>
    <row r="320" spans="1:4" ht="12.75">
      <c r="A320" s="2">
        <v>1</v>
      </c>
      <c r="B320" s="6" t="s">
        <v>387</v>
      </c>
      <c r="C320" s="6" t="s">
        <v>20</v>
      </c>
      <c r="D320" s="28">
        <f>ROUND(76.8*1.09*1.12*1.18,1)</f>
        <v>110.6</v>
      </c>
    </row>
    <row r="321" spans="1:4" ht="12.75">
      <c r="A321" s="2">
        <v>2</v>
      </c>
      <c r="B321" s="15" t="s">
        <v>283</v>
      </c>
      <c r="C321" s="6" t="s">
        <v>20</v>
      </c>
      <c r="D321" s="28">
        <v>171</v>
      </c>
    </row>
    <row r="322" spans="1:4" ht="12.75">
      <c r="A322" s="2">
        <v>3</v>
      </c>
      <c r="B322" s="18" t="s">
        <v>284</v>
      </c>
      <c r="C322" s="6" t="s">
        <v>20</v>
      </c>
      <c r="D322" s="28">
        <v>260</v>
      </c>
    </row>
    <row r="323" spans="1:4" ht="12.75">
      <c r="A323" s="2">
        <v>4</v>
      </c>
      <c r="B323" s="6" t="s">
        <v>553</v>
      </c>
      <c r="C323" s="6" t="s">
        <v>20</v>
      </c>
      <c r="D323" s="29">
        <f>ROUND(76.5*1.09*1.12*1.18,0)</f>
        <v>110</v>
      </c>
    </row>
    <row r="324" spans="1:4" ht="12.75">
      <c r="A324" s="2">
        <v>5</v>
      </c>
      <c r="B324" s="6" t="s">
        <v>554</v>
      </c>
      <c r="C324" s="6" t="s">
        <v>20</v>
      </c>
      <c r="D324" s="14">
        <v>19</v>
      </c>
    </row>
    <row r="325" spans="1:4" ht="12.75">
      <c r="A325" s="2">
        <v>6</v>
      </c>
      <c r="B325" s="6" t="s">
        <v>285</v>
      </c>
      <c r="C325" s="6" t="s">
        <v>20</v>
      </c>
      <c r="D325" s="29">
        <v>67.5</v>
      </c>
    </row>
    <row r="326" spans="1:4" ht="12.75">
      <c r="A326" s="2">
        <v>7</v>
      </c>
      <c r="B326" s="6" t="s">
        <v>286</v>
      </c>
      <c r="C326" s="6" t="s">
        <v>20</v>
      </c>
      <c r="D326" s="29">
        <v>73.3</v>
      </c>
    </row>
    <row r="327" spans="1:4" ht="12.75">
      <c r="A327" s="2">
        <v>8</v>
      </c>
      <c r="B327" s="6" t="s">
        <v>287</v>
      </c>
      <c r="C327" s="6" t="s">
        <v>20</v>
      </c>
      <c r="D327" s="29">
        <v>80.6</v>
      </c>
    </row>
    <row r="328" spans="1:4" ht="12.75">
      <c r="A328" s="2">
        <v>9</v>
      </c>
      <c r="B328" s="6" t="s">
        <v>288</v>
      </c>
      <c r="C328" s="6" t="s">
        <v>20</v>
      </c>
      <c r="D328" s="29">
        <v>91.7</v>
      </c>
    </row>
    <row r="329" spans="1:4" ht="14.25" customHeight="1">
      <c r="A329" s="2">
        <v>10</v>
      </c>
      <c r="B329" s="6" t="s">
        <v>336</v>
      </c>
      <c r="C329" s="6" t="s">
        <v>20</v>
      </c>
      <c r="D329" s="29">
        <v>114</v>
      </c>
    </row>
    <row r="330" spans="1:4" ht="12.75">
      <c r="A330" s="2">
        <v>11</v>
      </c>
      <c r="B330" s="6" t="s">
        <v>353</v>
      </c>
      <c r="C330" s="6" t="s">
        <v>20</v>
      </c>
      <c r="D330" s="29">
        <f>ROUND(75*1.09*1.12*1.18,1)</f>
        <v>108</v>
      </c>
    </row>
    <row r="331" spans="1:4" ht="12.75">
      <c r="A331" s="2">
        <v>12</v>
      </c>
      <c r="B331" s="6" t="s">
        <v>354</v>
      </c>
      <c r="C331" s="6" t="s">
        <v>20</v>
      </c>
      <c r="D331" s="29">
        <f>ROUND(47*1.09*1.12*1.18,1)</f>
        <v>67.7</v>
      </c>
    </row>
    <row r="332" spans="1:4" ht="12.75">
      <c r="A332" s="2">
        <v>13</v>
      </c>
      <c r="B332" s="6" t="s">
        <v>355</v>
      </c>
      <c r="C332" s="6" t="s">
        <v>20</v>
      </c>
      <c r="D332" s="29">
        <f>ROUND(71.7*1.09*1.12*1.18,1)</f>
        <v>103.3</v>
      </c>
    </row>
    <row r="333" spans="1:4" ht="12.75">
      <c r="A333" s="2">
        <v>14</v>
      </c>
      <c r="B333" s="6" t="s">
        <v>356</v>
      </c>
      <c r="C333" s="6" t="s">
        <v>20</v>
      </c>
      <c r="D333" s="29">
        <f>ROUND(33.4*1.09*1.12*1.18,1)</f>
        <v>48.1</v>
      </c>
    </row>
    <row r="334" spans="1:4" ht="12.75">
      <c r="A334" s="2">
        <v>15</v>
      </c>
      <c r="B334" s="6" t="s">
        <v>357</v>
      </c>
      <c r="C334" s="6" t="s">
        <v>20</v>
      </c>
      <c r="D334" s="29">
        <f>ROUND(30*1.09*1.12*1.18,1)</f>
        <v>43.2</v>
      </c>
    </row>
    <row r="335" spans="1:4" ht="12.75">
      <c r="A335" s="2">
        <v>16</v>
      </c>
      <c r="B335" s="6" t="s">
        <v>358</v>
      </c>
      <c r="C335" s="6" t="s">
        <v>20</v>
      </c>
      <c r="D335" s="29">
        <f>ROUND(60.5*1.09*1.12*1.18,1)</f>
        <v>87.2</v>
      </c>
    </row>
    <row r="336" spans="1:4" ht="12.75">
      <c r="A336" s="2">
        <v>17</v>
      </c>
      <c r="B336" s="6" t="s">
        <v>359</v>
      </c>
      <c r="C336" s="6" t="s">
        <v>20</v>
      </c>
      <c r="D336" s="29">
        <f>ROUND(14.2*1.09*1.12*1.18,1)</f>
        <v>20.5</v>
      </c>
    </row>
    <row r="337" spans="1:4" ht="12.75">
      <c r="A337" s="2">
        <v>18</v>
      </c>
      <c r="B337" s="6" t="s">
        <v>360</v>
      </c>
      <c r="C337" s="6" t="s">
        <v>20</v>
      </c>
      <c r="D337" s="29">
        <f>ROUND(15*1.18,1)</f>
        <v>17.7</v>
      </c>
    </row>
    <row r="338" spans="1:4" ht="12.75">
      <c r="A338" s="2">
        <v>19</v>
      </c>
      <c r="B338" s="6" t="s">
        <v>361</v>
      </c>
      <c r="C338" s="6" t="s">
        <v>20</v>
      </c>
      <c r="D338" s="29">
        <f>ROUND(20*1.18,1)</f>
        <v>23.6</v>
      </c>
    </row>
    <row r="339" spans="1:4" ht="12.75">
      <c r="A339" s="2">
        <v>20</v>
      </c>
      <c r="B339" s="6" t="s">
        <v>362</v>
      </c>
      <c r="C339" s="6" t="s">
        <v>20</v>
      </c>
      <c r="D339" s="29">
        <v>137.5</v>
      </c>
    </row>
    <row r="340" spans="1:4" ht="12.75">
      <c r="A340" s="2">
        <v>21</v>
      </c>
      <c r="B340" s="6" t="s">
        <v>363</v>
      </c>
      <c r="C340" s="6" t="s">
        <v>432</v>
      </c>
      <c r="D340" s="30">
        <f>ROUND(69*1.09*1.12*1.18,0)</f>
        <v>99</v>
      </c>
    </row>
    <row r="341" spans="1:4" ht="12.75">
      <c r="A341" s="2">
        <v>22</v>
      </c>
      <c r="B341" s="6" t="s">
        <v>289</v>
      </c>
      <c r="C341" s="6" t="s">
        <v>20</v>
      </c>
      <c r="D341" s="29">
        <f>ROUND(24.6*1.09*1.12*1.18,1)</f>
        <v>35.4</v>
      </c>
    </row>
    <row r="342" spans="1:4" ht="12.75">
      <c r="A342" s="2">
        <v>23</v>
      </c>
      <c r="B342" s="6" t="s">
        <v>522</v>
      </c>
      <c r="C342" s="6" t="s">
        <v>20</v>
      </c>
      <c r="D342" s="29">
        <f>ROUND(101*1.05,0)</f>
        <v>106</v>
      </c>
    </row>
    <row r="343" spans="1:4" ht="12.75">
      <c r="A343" s="2">
        <v>24</v>
      </c>
      <c r="B343" s="6" t="s">
        <v>523</v>
      </c>
      <c r="C343" s="6" t="s">
        <v>20</v>
      </c>
      <c r="D343" s="29">
        <f>ROUND(135*1.05,0)</f>
        <v>142</v>
      </c>
    </row>
    <row r="344" spans="1:4" ht="12.75">
      <c r="A344" s="2">
        <v>25</v>
      </c>
      <c r="B344" s="6" t="s">
        <v>524</v>
      </c>
      <c r="C344" s="6" t="s">
        <v>20</v>
      </c>
      <c r="D344" s="29">
        <f>ROUND(169*1.05,0)</f>
        <v>177</v>
      </c>
    </row>
    <row r="345" spans="1:4" ht="12.75">
      <c r="A345" s="2">
        <v>26</v>
      </c>
      <c r="B345" s="6" t="s">
        <v>525</v>
      </c>
      <c r="C345" s="6" t="s">
        <v>20</v>
      </c>
      <c r="D345" s="29">
        <f>ROUND(203*1.05,0)</f>
        <v>213</v>
      </c>
    </row>
    <row r="346" spans="1:4" ht="12.75">
      <c r="A346" s="2">
        <v>27</v>
      </c>
      <c r="B346" s="6" t="s">
        <v>526</v>
      </c>
      <c r="C346" s="6" t="s">
        <v>20</v>
      </c>
      <c r="D346" s="29">
        <f>ROUND(270*1.05,0)</f>
        <v>284</v>
      </c>
    </row>
    <row r="347" spans="1:4" ht="12.75">
      <c r="A347" s="2">
        <v>28</v>
      </c>
      <c r="B347" s="6" t="s">
        <v>527</v>
      </c>
      <c r="C347" s="6" t="s">
        <v>20</v>
      </c>
      <c r="D347" s="29">
        <f>ROUND(338*1.05,0)</f>
        <v>355</v>
      </c>
    </row>
    <row r="348" spans="1:4" ht="12.75">
      <c r="A348" s="2">
        <v>29</v>
      </c>
      <c r="B348" s="6" t="s">
        <v>528</v>
      </c>
      <c r="C348" s="6" t="s">
        <v>20</v>
      </c>
      <c r="D348" s="29">
        <f>ROUND(406*1.05,0)</f>
        <v>426</v>
      </c>
    </row>
    <row r="349" spans="1:4" ht="12.75">
      <c r="A349" s="2">
        <v>30</v>
      </c>
      <c r="B349" s="6" t="s">
        <v>531</v>
      </c>
      <c r="C349" s="6" t="s">
        <v>20</v>
      </c>
      <c r="D349" s="29">
        <f>ROUND(50*1.05,0)</f>
        <v>53</v>
      </c>
    </row>
    <row r="350" spans="1:4" ht="12.75">
      <c r="A350" s="2">
        <v>31</v>
      </c>
      <c r="B350" s="6" t="s">
        <v>532</v>
      </c>
      <c r="C350" s="6" t="s">
        <v>20</v>
      </c>
      <c r="D350" s="29">
        <f>ROUND(45*1.05,0)</f>
        <v>47</v>
      </c>
    </row>
    <row r="351" spans="1:4" ht="12.75">
      <c r="A351" s="2">
        <v>32</v>
      </c>
      <c r="B351" s="6" t="s">
        <v>350</v>
      </c>
      <c r="C351" s="6" t="s">
        <v>20</v>
      </c>
      <c r="D351" s="29">
        <f>ROUND(218*1.09*1.12*1.18,1)</f>
        <v>314</v>
      </c>
    </row>
    <row r="352" spans="1:4" ht="12.75">
      <c r="A352" s="2">
        <v>33</v>
      </c>
      <c r="B352" s="6" t="s">
        <v>393</v>
      </c>
      <c r="C352" s="2"/>
      <c r="D352" s="29"/>
    </row>
    <row r="353" spans="1:4" ht="15" customHeight="1">
      <c r="A353" s="2"/>
      <c r="B353" s="6" t="s">
        <v>568</v>
      </c>
      <c r="C353" s="6" t="s">
        <v>20</v>
      </c>
      <c r="D353" s="29">
        <f>ROUND(431*1.09*1.12*1.18,1)</f>
        <v>620.9</v>
      </c>
    </row>
    <row r="354" spans="1:4" ht="15" customHeight="1">
      <c r="A354" s="2"/>
      <c r="B354" s="6" t="s">
        <v>365</v>
      </c>
      <c r="C354" s="6" t="s">
        <v>20</v>
      </c>
      <c r="D354" s="29">
        <f>ROUND(443*1.09*1.12*1.18,1)</f>
        <v>638.2</v>
      </c>
    </row>
    <row r="355" spans="1:4" ht="15" customHeight="1">
      <c r="A355" s="2">
        <v>34</v>
      </c>
      <c r="B355" s="6" t="s">
        <v>529</v>
      </c>
      <c r="C355" s="6" t="s">
        <v>20</v>
      </c>
      <c r="D355" s="29">
        <f>ROUND(52*1.05,0)</f>
        <v>55</v>
      </c>
    </row>
    <row r="356" spans="1:4" ht="15" customHeight="1">
      <c r="A356" s="2">
        <v>35</v>
      </c>
      <c r="B356" s="6" t="s">
        <v>530</v>
      </c>
      <c r="C356" s="6" t="s">
        <v>20</v>
      </c>
      <c r="D356" s="29">
        <f>ROUND(72*1.05,0)</f>
        <v>76</v>
      </c>
    </row>
    <row r="357" spans="1:4" ht="12.75">
      <c r="A357" s="2">
        <v>36</v>
      </c>
      <c r="B357" s="6" t="s">
        <v>294</v>
      </c>
      <c r="C357" s="6" t="s">
        <v>20</v>
      </c>
      <c r="D357" s="29">
        <f>ROUND(27.6*1.09*1.12*1.18,1)</f>
        <v>39.8</v>
      </c>
    </row>
    <row r="358" spans="1:4" ht="12.75">
      <c r="A358" s="2">
        <v>37</v>
      </c>
      <c r="B358" s="6" t="s">
        <v>322</v>
      </c>
      <c r="C358" s="6" t="s">
        <v>20</v>
      </c>
      <c r="D358" s="29">
        <f>ROUND(18.5*1.09*1.12*1.18,1)</f>
        <v>26.7</v>
      </c>
    </row>
    <row r="359" spans="1:4" ht="12.75">
      <c r="A359" s="2">
        <v>38</v>
      </c>
      <c r="B359" s="6" t="s">
        <v>323</v>
      </c>
      <c r="C359" s="6" t="s">
        <v>20</v>
      </c>
      <c r="D359" s="29">
        <f>ROUND(21.4*1.09*1.12*1.18,1)</f>
        <v>30.8</v>
      </c>
    </row>
    <row r="360" spans="1:4" ht="12.75">
      <c r="A360" s="2">
        <v>39</v>
      </c>
      <c r="B360" s="6" t="s">
        <v>324</v>
      </c>
      <c r="C360" s="6" t="s">
        <v>20</v>
      </c>
      <c r="D360" s="29">
        <f>ROUND(21.4*1.09*1.12*1.18,1)</f>
        <v>30.8</v>
      </c>
    </row>
    <row r="361" spans="1:4" ht="12.75">
      <c r="A361" s="2">
        <v>40</v>
      </c>
      <c r="B361" s="6" t="s">
        <v>325</v>
      </c>
      <c r="C361" s="6" t="s">
        <v>20</v>
      </c>
      <c r="D361" s="29">
        <f>ROUND(23.3*1.09*1.12*1.18,1)</f>
        <v>33.6</v>
      </c>
    </row>
    <row r="362" spans="1:4" ht="12.75">
      <c r="A362" s="2">
        <v>41</v>
      </c>
      <c r="B362" s="6" t="s">
        <v>326</v>
      </c>
      <c r="C362" s="6" t="s">
        <v>20</v>
      </c>
      <c r="D362" s="29">
        <f>ROUND(23.6*1.09*1.12*1.18,1)</f>
        <v>34</v>
      </c>
    </row>
    <row r="363" spans="1:4" ht="12.75">
      <c r="A363" s="2">
        <v>42</v>
      </c>
      <c r="B363" s="6" t="s">
        <v>327</v>
      </c>
      <c r="C363" s="6" t="s">
        <v>20</v>
      </c>
      <c r="D363" s="29">
        <f>ROUND(24*1.09*1.12*1.18,1)</f>
        <v>34.6</v>
      </c>
    </row>
    <row r="364" spans="1:4" ht="12.75">
      <c r="A364" s="2">
        <v>43</v>
      </c>
      <c r="B364" s="6" t="s">
        <v>328</v>
      </c>
      <c r="C364" s="6" t="s">
        <v>20</v>
      </c>
      <c r="D364" s="29">
        <f>ROUND(24.7*1.09*1.12*1.18,1)</f>
        <v>35.6</v>
      </c>
    </row>
    <row r="365" spans="1:4" ht="12.75">
      <c r="A365" s="2">
        <v>44</v>
      </c>
      <c r="B365" s="6" t="s">
        <v>329</v>
      </c>
      <c r="C365" s="6" t="s">
        <v>20</v>
      </c>
      <c r="D365" s="29">
        <f>ROUND(28.3*1.09*1.12*1.18,1)</f>
        <v>40.8</v>
      </c>
    </row>
    <row r="366" spans="1:4" ht="12.75">
      <c r="A366" s="2">
        <v>45</v>
      </c>
      <c r="B366" s="6" t="s">
        <v>330</v>
      </c>
      <c r="C366" s="6" t="s">
        <v>20</v>
      </c>
      <c r="D366" s="29">
        <f>ROUND(26.5*1.09*1.12*1.18,1)</f>
        <v>38.2</v>
      </c>
    </row>
    <row r="367" spans="1:4" ht="12.75">
      <c r="A367" s="2">
        <v>46</v>
      </c>
      <c r="B367" s="6" t="s">
        <v>331</v>
      </c>
      <c r="C367" s="6" t="s">
        <v>20</v>
      </c>
      <c r="D367" s="29">
        <f>ROUND(27.5*1.09*1.12*1.18,1)</f>
        <v>39.6</v>
      </c>
    </row>
    <row r="368" spans="1:4" ht="12.75">
      <c r="A368" s="2">
        <v>47</v>
      </c>
      <c r="B368" s="6" t="s">
        <v>332</v>
      </c>
      <c r="C368" s="6" t="s">
        <v>20</v>
      </c>
      <c r="D368" s="29">
        <f>ROUND(28.3*1.09*1.12*1.18,1)</f>
        <v>40.8</v>
      </c>
    </row>
    <row r="369" spans="1:4" ht="12.75">
      <c r="A369" s="2">
        <v>48</v>
      </c>
      <c r="B369" s="6" t="s">
        <v>333</v>
      </c>
      <c r="C369" s="6" t="s">
        <v>20</v>
      </c>
      <c r="D369" s="29">
        <f>ROUND(54.6*1.09*1.12*1.18,1)</f>
        <v>78.7</v>
      </c>
    </row>
    <row r="370" spans="1:4" ht="12.75">
      <c r="A370" s="2">
        <v>49</v>
      </c>
      <c r="B370" s="6" t="s">
        <v>295</v>
      </c>
      <c r="C370" s="6" t="s">
        <v>20</v>
      </c>
      <c r="D370" s="29">
        <f>ROUND(58.6*1.09*1.12*1.18,1)</f>
        <v>84.4</v>
      </c>
    </row>
    <row r="371" spans="1:4" ht="12.75">
      <c r="A371" s="2">
        <v>50</v>
      </c>
      <c r="B371" s="6" t="s">
        <v>297</v>
      </c>
      <c r="C371" s="6" t="s">
        <v>20</v>
      </c>
      <c r="D371" s="29">
        <f>ROUND(49.8*1.09*1.12*1.18,1)</f>
        <v>71.7</v>
      </c>
    </row>
    <row r="372" spans="1:4" ht="12.75">
      <c r="A372" s="2">
        <v>51</v>
      </c>
      <c r="B372" s="6" t="s">
        <v>296</v>
      </c>
      <c r="C372" s="6" t="s">
        <v>20</v>
      </c>
      <c r="D372" s="29">
        <f>ROUND(17*1.09*1.12*1.18,1)</f>
        <v>24.5</v>
      </c>
    </row>
    <row r="373" spans="1:4" ht="12.75">
      <c r="A373" s="2">
        <v>52</v>
      </c>
      <c r="B373" s="6" t="s">
        <v>298</v>
      </c>
      <c r="C373" s="6" t="s">
        <v>20</v>
      </c>
      <c r="D373" s="29">
        <f>ROUND(78*1.09*1.12*1.18,1)</f>
        <v>112.4</v>
      </c>
    </row>
    <row r="374" spans="1:4" ht="12.75">
      <c r="A374" s="2">
        <v>53</v>
      </c>
      <c r="B374" s="6" t="s">
        <v>299</v>
      </c>
      <c r="C374" s="6" t="s">
        <v>20</v>
      </c>
      <c r="D374" s="29">
        <f>ROUND(58.2*1.09*1.12*1.18,1)</f>
        <v>83.8</v>
      </c>
    </row>
    <row r="375" spans="1:4" ht="12.75">
      <c r="A375" s="2">
        <v>54</v>
      </c>
      <c r="B375" s="6" t="s">
        <v>300</v>
      </c>
      <c r="C375" s="6" t="s">
        <v>20</v>
      </c>
      <c r="D375" s="29">
        <f>ROUND(62.8*1.09*1.12*1.18,1)</f>
        <v>90.5</v>
      </c>
    </row>
    <row r="376" spans="1:4" ht="12.75">
      <c r="A376" s="2">
        <v>55</v>
      </c>
      <c r="B376" s="6" t="s">
        <v>301</v>
      </c>
      <c r="C376" s="6" t="s">
        <v>20</v>
      </c>
      <c r="D376" s="29">
        <f>ROUND(66.2*1.09*1.12*1.18,1)</f>
        <v>95.4</v>
      </c>
    </row>
    <row r="377" spans="1:4" ht="12.75">
      <c r="A377" s="2">
        <v>56</v>
      </c>
      <c r="B377" s="6" t="s">
        <v>302</v>
      </c>
      <c r="C377" s="6" t="s">
        <v>20</v>
      </c>
      <c r="D377" s="29">
        <f>ROUND(72.9*1.09*1.12*1.18,1)</f>
        <v>105</v>
      </c>
    </row>
    <row r="378" spans="1:4" ht="12.75">
      <c r="A378" s="2">
        <v>57</v>
      </c>
      <c r="B378" s="6" t="s">
        <v>303</v>
      </c>
      <c r="C378" s="6" t="s">
        <v>20</v>
      </c>
      <c r="D378" s="29">
        <f>ROUND(71.2*1.09*1.12*1.18,1)</f>
        <v>102.6</v>
      </c>
    </row>
    <row r="379" spans="1:4" ht="12.75">
      <c r="A379" s="2">
        <v>58</v>
      </c>
      <c r="B379" s="6" t="s">
        <v>304</v>
      </c>
      <c r="C379" s="6" t="s">
        <v>20</v>
      </c>
      <c r="D379" s="29">
        <f>ROUND(72*1.09*1.12*1.18,1)</f>
        <v>103.7</v>
      </c>
    </row>
    <row r="380" spans="1:4" ht="12.75">
      <c r="A380" s="2">
        <v>59</v>
      </c>
      <c r="B380" s="6" t="s">
        <v>305</v>
      </c>
      <c r="C380" s="6" t="s">
        <v>20</v>
      </c>
      <c r="D380" s="29">
        <f>ROUND(80*1.09*1.12*1.18,1)</f>
        <v>115.2</v>
      </c>
    </row>
    <row r="381" spans="1:4" ht="12.75">
      <c r="A381" s="2">
        <v>60</v>
      </c>
      <c r="B381" s="6" t="s">
        <v>306</v>
      </c>
      <c r="C381" s="6" t="s">
        <v>20</v>
      </c>
      <c r="D381" s="29">
        <f>ROUND(81*1.09*1.12*1.18,1)</f>
        <v>116.7</v>
      </c>
    </row>
    <row r="382" spans="1:4" ht="12.75">
      <c r="A382" s="2">
        <v>61</v>
      </c>
      <c r="B382" s="6" t="s">
        <v>307</v>
      </c>
      <c r="C382" s="6" t="s">
        <v>20</v>
      </c>
      <c r="D382" s="29">
        <f>ROUND(81.8*1.09*1.12*1.18,1)</f>
        <v>117.8</v>
      </c>
    </row>
    <row r="383" spans="1:4" ht="12.75">
      <c r="A383" s="2">
        <v>62</v>
      </c>
      <c r="B383" s="6" t="s">
        <v>308</v>
      </c>
      <c r="C383" s="6" t="s">
        <v>20</v>
      </c>
      <c r="D383" s="29">
        <f>ROUND(82.6*1.09*1.12*1.18,1)</f>
        <v>119</v>
      </c>
    </row>
    <row r="384" spans="1:4" ht="12.75">
      <c r="A384" s="2">
        <v>63</v>
      </c>
      <c r="B384" s="6" t="s">
        <v>309</v>
      </c>
      <c r="C384" s="6" t="s">
        <v>20</v>
      </c>
      <c r="D384" s="29">
        <f>ROUND(91*1.09*1.12*1.18,1)</f>
        <v>131.1</v>
      </c>
    </row>
    <row r="385" spans="1:4" ht="12.75">
      <c r="A385" s="2">
        <v>64</v>
      </c>
      <c r="B385" s="6" t="s">
        <v>310</v>
      </c>
      <c r="C385" s="6" t="s">
        <v>20</v>
      </c>
      <c r="D385" s="29">
        <f>ROUND(99.5*1.09*1.12*1.18,1)</f>
        <v>143.3</v>
      </c>
    </row>
    <row r="386" spans="1:4" ht="12.75">
      <c r="A386" s="2">
        <v>65</v>
      </c>
      <c r="B386" s="6" t="s">
        <v>311</v>
      </c>
      <c r="C386" s="6" t="s">
        <v>20</v>
      </c>
      <c r="D386" s="29">
        <f>ROUND(107*1.09*1.12*1.18,1)</f>
        <v>154.1</v>
      </c>
    </row>
    <row r="387" spans="1:4" ht="12.75">
      <c r="A387" s="2">
        <v>66</v>
      </c>
      <c r="B387" s="6" t="s">
        <v>312</v>
      </c>
      <c r="C387" s="6" t="s">
        <v>20</v>
      </c>
      <c r="D387" s="29">
        <f>ROUND(94.3*1.09*1.12*1.18,1)</f>
        <v>135.8</v>
      </c>
    </row>
    <row r="388" spans="1:4" ht="12.75">
      <c r="A388" s="2">
        <v>67</v>
      </c>
      <c r="B388" s="6" t="s">
        <v>313</v>
      </c>
      <c r="C388" s="6" t="s">
        <v>20</v>
      </c>
      <c r="D388" s="29">
        <f>ROUND(94.3*1.09*1.12*1.18,1)</f>
        <v>135.8</v>
      </c>
    </row>
    <row r="389" spans="1:4" ht="12.75">
      <c r="A389" s="2">
        <v>68</v>
      </c>
      <c r="B389" s="6" t="s">
        <v>314</v>
      </c>
      <c r="C389" s="6" t="s">
        <v>20</v>
      </c>
      <c r="D389" s="29">
        <f>ROUND(96*1.09*1.12*1.18,1)</f>
        <v>138.3</v>
      </c>
    </row>
    <row r="390" spans="1:4" ht="12.75">
      <c r="A390" s="2">
        <v>69</v>
      </c>
      <c r="B390" s="6" t="s">
        <v>315</v>
      </c>
      <c r="C390" s="6" t="s">
        <v>20</v>
      </c>
      <c r="D390" s="29">
        <f>ROUND(109.2*1.09*1.12*1.18,1)</f>
        <v>157.3</v>
      </c>
    </row>
    <row r="391" spans="1:4" ht="12.75">
      <c r="A391" s="2">
        <v>70</v>
      </c>
      <c r="B391" s="6" t="s">
        <v>316</v>
      </c>
      <c r="C391" s="6" t="s">
        <v>20</v>
      </c>
      <c r="D391" s="29">
        <f>ROUND(111*1.09*1.12*1.18,1)</f>
        <v>159.9</v>
      </c>
    </row>
    <row r="392" spans="1:4" ht="12.75">
      <c r="A392" s="2">
        <v>71</v>
      </c>
      <c r="B392" s="6" t="s">
        <v>317</v>
      </c>
      <c r="C392" s="6" t="s">
        <v>20</v>
      </c>
      <c r="D392" s="29">
        <f>ROUND(97.5*1.09*1.12*1.18,1)</f>
        <v>140.5</v>
      </c>
    </row>
    <row r="393" spans="1:4" ht="12.75">
      <c r="A393" s="2">
        <v>72</v>
      </c>
      <c r="B393" s="6" t="s">
        <v>318</v>
      </c>
      <c r="C393" s="6" t="s">
        <v>20</v>
      </c>
      <c r="D393" s="29">
        <f>ROUND(115.7*1.09*1.12*1.18,1)</f>
        <v>166.7</v>
      </c>
    </row>
    <row r="394" spans="1:4" ht="12.75">
      <c r="A394" s="2">
        <v>73</v>
      </c>
      <c r="B394" s="6" t="s">
        <v>319</v>
      </c>
      <c r="C394" s="6" t="s">
        <v>20</v>
      </c>
      <c r="D394" s="29">
        <f>ROUND(133.3*1.09*1.12*1.18,1)</f>
        <v>192</v>
      </c>
    </row>
    <row r="395" spans="1:4" ht="12.75">
      <c r="A395" s="2">
        <v>74</v>
      </c>
      <c r="B395" s="6" t="s">
        <v>320</v>
      </c>
      <c r="C395" s="6" t="s">
        <v>20</v>
      </c>
      <c r="D395" s="29">
        <f>ROUND(230.7*1.09*1.12*1.18,1)</f>
        <v>332.3</v>
      </c>
    </row>
    <row r="396" spans="1:4" ht="12.75">
      <c r="A396" s="2">
        <v>75</v>
      </c>
      <c r="B396" s="6" t="s">
        <v>321</v>
      </c>
      <c r="C396" s="6" t="s">
        <v>20</v>
      </c>
      <c r="D396" s="29">
        <f>ROUND(281*1.09*1.12*1.18,1)</f>
        <v>404.8</v>
      </c>
    </row>
    <row r="397" spans="1:4" ht="12.75">
      <c r="A397" s="2">
        <v>76</v>
      </c>
      <c r="B397" s="6" t="s">
        <v>293</v>
      </c>
      <c r="C397" s="6" t="s">
        <v>20</v>
      </c>
      <c r="D397" s="29">
        <f>ROUND(14.6*1.09*1.12*1.18,1)</f>
        <v>21</v>
      </c>
    </row>
    <row r="398" spans="1:4" ht="12.75" customHeight="1">
      <c r="A398" s="2">
        <v>77</v>
      </c>
      <c r="B398" s="6" t="s">
        <v>366</v>
      </c>
      <c r="C398" s="6" t="s">
        <v>432</v>
      </c>
      <c r="D398" s="29">
        <f>ROUND(92*1.09*1.12*1.18,0)</f>
        <v>133</v>
      </c>
    </row>
    <row r="399" spans="1:4" ht="12.75" customHeight="1">
      <c r="A399" s="2">
        <v>78</v>
      </c>
      <c r="B399" s="6" t="s">
        <v>369</v>
      </c>
      <c r="C399" s="6" t="s">
        <v>432</v>
      </c>
      <c r="D399" s="29">
        <f>ROUND(125*1.09*1.12*1.18,0)</f>
        <v>180</v>
      </c>
    </row>
    <row r="400" spans="1:4" ht="12.75" customHeight="1">
      <c r="A400" s="2">
        <v>79</v>
      </c>
      <c r="B400" s="6" t="s">
        <v>370</v>
      </c>
      <c r="C400" s="6" t="s">
        <v>432</v>
      </c>
      <c r="D400" s="30">
        <f>ROUND(150*1.12*1.18,1)</f>
        <v>198.2</v>
      </c>
    </row>
    <row r="401" spans="1:4" ht="12.75" customHeight="1">
      <c r="A401" s="2">
        <v>80</v>
      </c>
      <c r="B401" s="6" t="s">
        <v>371</v>
      </c>
      <c r="C401" s="6" t="s">
        <v>432</v>
      </c>
      <c r="D401" s="29">
        <f>ROUND(115*1.12*1.18,0)</f>
        <v>152</v>
      </c>
    </row>
    <row r="402" spans="1:4" ht="12.75" customHeight="1">
      <c r="A402" s="2">
        <v>81</v>
      </c>
      <c r="B402" s="6" t="s">
        <v>391</v>
      </c>
      <c r="C402" s="6" t="s">
        <v>432</v>
      </c>
      <c r="D402" s="29">
        <f>ROUND(100*1.09*1.12*1.18,1)</f>
        <v>144.1</v>
      </c>
    </row>
    <row r="403" spans="1:4" ht="12.75" customHeight="1">
      <c r="A403" s="2">
        <v>82</v>
      </c>
      <c r="B403" s="6" t="s">
        <v>368</v>
      </c>
      <c r="C403" s="6" t="s">
        <v>432</v>
      </c>
      <c r="D403" s="29">
        <f>ROUND(120*1.09*1.12*1.18,0)</f>
        <v>173</v>
      </c>
    </row>
    <row r="404" spans="1:4" ht="12.75" customHeight="1">
      <c r="A404" s="2">
        <v>83</v>
      </c>
      <c r="B404" s="6" t="s">
        <v>372</v>
      </c>
      <c r="C404" s="6" t="s">
        <v>432</v>
      </c>
      <c r="D404" s="29">
        <f>ROUND(74*1.09*1.12,0)</f>
        <v>90</v>
      </c>
    </row>
    <row r="405" spans="1:4" ht="12.75" customHeight="1">
      <c r="A405" s="2">
        <v>84</v>
      </c>
      <c r="B405" s="6" t="s">
        <v>375</v>
      </c>
      <c r="C405" s="6" t="s">
        <v>432</v>
      </c>
      <c r="D405" s="29">
        <f>ROUND(84*1.09*1.12*1.18,0)</f>
        <v>121</v>
      </c>
    </row>
    <row r="406" spans="1:4" ht="12.75" customHeight="1">
      <c r="A406" s="2">
        <v>85</v>
      </c>
      <c r="B406" s="6" t="s">
        <v>377</v>
      </c>
      <c r="C406" s="6" t="s">
        <v>432</v>
      </c>
      <c r="D406" s="29">
        <f>ROUND(84*1.09*1.12*1.18,0)</f>
        <v>121</v>
      </c>
    </row>
    <row r="407" spans="1:4" ht="12.75" customHeight="1">
      <c r="A407" s="2">
        <v>86</v>
      </c>
      <c r="B407" s="6" t="s">
        <v>373</v>
      </c>
      <c r="C407" s="6" t="s">
        <v>432</v>
      </c>
      <c r="D407" s="29">
        <f>ROUND(92*1.09*1.12,0)</f>
        <v>112</v>
      </c>
    </row>
    <row r="408" spans="1:4" ht="12.75" customHeight="1">
      <c r="A408" s="2">
        <v>87</v>
      </c>
      <c r="B408" s="6" t="s">
        <v>374</v>
      </c>
      <c r="C408" s="6" t="s">
        <v>432</v>
      </c>
      <c r="D408" s="29">
        <f>ROUND(102*1.09*1.12*1.18,0)</f>
        <v>147</v>
      </c>
    </row>
    <row r="409" spans="1:4" ht="12.75" customHeight="1">
      <c r="A409" s="2">
        <v>88</v>
      </c>
      <c r="B409" s="6" t="s">
        <v>376</v>
      </c>
      <c r="C409" s="6" t="s">
        <v>432</v>
      </c>
      <c r="D409" s="29">
        <f>ROUND(102*1.09*1.12*1.18,0)</f>
        <v>147</v>
      </c>
    </row>
    <row r="410" spans="1:4" ht="12.75" customHeight="1">
      <c r="A410" s="2">
        <v>89</v>
      </c>
      <c r="B410" s="6" t="s">
        <v>367</v>
      </c>
      <c r="C410" s="6" t="s">
        <v>433</v>
      </c>
      <c r="D410" s="29">
        <f>ROUND(349.8*1.09*1.12*1.18,0)</f>
        <v>504</v>
      </c>
    </row>
    <row r="411" spans="1:4" ht="12.75">
      <c r="A411" s="2">
        <v>90</v>
      </c>
      <c r="B411" s="6" t="s">
        <v>290</v>
      </c>
      <c r="C411" s="6" t="s">
        <v>20</v>
      </c>
      <c r="D411" s="29">
        <f>ROUND(177*1.09*1.12*1.18,1)</f>
        <v>255</v>
      </c>
    </row>
    <row r="412" spans="1:4" ht="12.75">
      <c r="A412" s="2">
        <v>91</v>
      </c>
      <c r="B412" s="6" t="s">
        <v>291</v>
      </c>
      <c r="C412" s="6" t="s">
        <v>20</v>
      </c>
      <c r="D412" s="29">
        <f>ROUND(15.7*1.09*1.12*1.18,1)</f>
        <v>22.6</v>
      </c>
    </row>
    <row r="413" spans="1:4" ht="12.75">
      <c r="A413" s="2">
        <v>92</v>
      </c>
      <c r="B413" s="6" t="s">
        <v>292</v>
      </c>
      <c r="C413" s="6" t="s">
        <v>20</v>
      </c>
      <c r="D413" s="29">
        <f>ROUND(15.4*1.09*1.12*1.18,1)</f>
        <v>22.2</v>
      </c>
    </row>
    <row r="414" spans="1:4" ht="12.75">
      <c r="A414" s="2">
        <v>93</v>
      </c>
      <c r="B414" s="6" t="s">
        <v>344</v>
      </c>
      <c r="C414" s="6" t="s">
        <v>20</v>
      </c>
      <c r="D414" s="29">
        <f>ROUND(153.44*1.09*1.12*1.18,1)</f>
        <v>221</v>
      </c>
    </row>
    <row r="415" spans="1:4" ht="12.75">
      <c r="A415" s="2">
        <v>94</v>
      </c>
      <c r="B415" s="6" t="s">
        <v>345</v>
      </c>
      <c r="C415" s="6" t="s">
        <v>20</v>
      </c>
      <c r="D415" s="29">
        <f>ROUND(282.3*1.09*1.12*1.18,1)</f>
        <v>406.7</v>
      </c>
    </row>
    <row r="416" spans="1:4" ht="12.75">
      <c r="A416" s="2">
        <v>95</v>
      </c>
      <c r="B416" s="6" t="s">
        <v>346</v>
      </c>
      <c r="C416" s="6" t="s">
        <v>20</v>
      </c>
      <c r="D416" s="29">
        <f>ROUND(887*1.09*1.12*1.18,1)</f>
        <v>1277.8</v>
      </c>
    </row>
    <row r="417" spans="1:4" ht="12.75">
      <c r="A417" s="2">
        <v>96</v>
      </c>
      <c r="B417" s="6" t="s">
        <v>347</v>
      </c>
      <c r="C417" s="6" t="s">
        <v>20</v>
      </c>
      <c r="D417" s="29">
        <f>ROUND(544*1.09*1.12*1.18,1)</f>
        <v>783.7</v>
      </c>
    </row>
    <row r="418" spans="1:4" ht="12.75">
      <c r="A418" s="2">
        <v>97</v>
      </c>
      <c r="B418" s="6" t="s">
        <v>348</v>
      </c>
      <c r="C418" s="6" t="s">
        <v>20</v>
      </c>
      <c r="D418" s="29">
        <f>ROUND(536*1.09*1.12*1.18,1)</f>
        <v>772.1</v>
      </c>
    </row>
    <row r="419" spans="1:4" ht="12.75">
      <c r="A419" s="2">
        <v>98</v>
      </c>
      <c r="B419" s="6" t="s">
        <v>349</v>
      </c>
      <c r="C419" s="6" t="s">
        <v>20</v>
      </c>
      <c r="D419" s="29">
        <f>ROUND(432*1.09*1.12*1.18,1)</f>
        <v>622.3</v>
      </c>
    </row>
    <row r="420" spans="1:4" ht="13.5" customHeight="1">
      <c r="A420" s="2">
        <v>99</v>
      </c>
      <c r="B420" s="6" t="s">
        <v>351</v>
      </c>
      <c r="C420" s="6" t="s">
        <v>20</v>
      </c>
      <c r="D420" s="29">
        <v>510.1</v>
      </c>
    </row>
    <row r="421" spans="1:4" ht="12.75">
      <c r="A421" s="2">
        <v>100</v>
      </c>
      <c r="B421" s="6" t="s">
        <v>388</v>
      </c>
      <c r="C421" s="6" t="s">
        <v>432</v>
      </c>
      <c r="D421" s="29">
        <f>ROUND(125*1.09*1.12*1.18,0)</f>
        <v>180</v>
      </c>
    </row>
    <row r="422" spans="1:4" ht="12.75">
      <c r="A422" s="2">
        <v>101</v>
      </c>
      <c r="B422" s="6" t="s">
        <v>389</v>
      </c>
      <c r="C422" s="6" t="s">
        <v>432</v>
      </c>
      <c r="D422" s="30">
        <f>ROUND(150*1.12*1.18,1)</f>
        <v>198.2</v>
      </c>
    </row>
    <row r="423" spans="1:4" ht="12.75">
      <c r="A423" s="2">
        <v>102</v>
      </c>
      <c r="B423" s="6" t="s">
        <v>390</v>
      </c>
      <c r="C423" s="6" t="s">
        <v>432</v>
      </c>
      <c r="D423" s="29">
        <f>ROUND(115*1.12*1.18,0)</f>
        <v>152</v>
      </c>
    </row>
    <row r="424" spans="1:4" ht="12.75">
      <c r="A424" s="2">
        <v>103</v>
      </c>
      <c r="B424" s="6" t="s">
        <v>378</v>
      </c>
      <c r="C424" s="6" t="s">
        <v>432</v>
      </c>
      <c r="D424" s="30">
        <f>ROUND(85*1.09*1.12*1.18,0)</f>
        <v>122</v>
      </c>
    </row>
    <row r="425" spans="1:4" ht="12.75">
      <c r="A425" s="2">
        <v>104</v>
      </c>
      <c r="B425" s="6" t="s">
        <v>379</v>
      </c>
      <c r="C425" s="6" t="s">
        <v>432</v>
      </c>
      <c r="D425" s="30">
        <f>ROUND(112.3*1.18,1)</f>
        <v>132.5</v>
      </c>
    </row>
    <row r="426" spans="1:4" ht="12.75">
      <c r="A426" s="2">
        <v>105</v>
      </c>
      <c r="B426" s="6" t="s">
        <v>392</v>
      </c>
      <c r="C426" s="6" t="s">
        <v>432</v>
      </c>
      <c r="D426" s="29">
        <f>ROUND(100*1.09*1.12*1.18,1)</f>
        <v>144.1</v>
      </c>
    </row>
    <row r="427" spans="1:4" ht="12.75">
      <c r="A427" s="2">
        <v>106</v>
      </c>
      <c r="B427" s="6" t="s">
        <v>565</v>
      </c>
      <c r="C427" s="6" t="s">
        <v>432</v>
      </c>
      <c r="D427" s="29" t="s">
        <v>564</v>
      </c>
    </row>
    <row r="428" spans="1:4" ht="12.75">
      <c r="A428" s="2">
        <v>107</v>
      </c>
      <c r="B428" s="6" t="s">
        <v>352</v>
      </c>
      <c r="C428" s="6" t="s">
        <v>20</v>
      </c>
      <c r="D428" s="29">
        <f>ROUND(11.5*1.09*1.12*1.18,1)</f>
        <v>16.6</v>
      </c>
    </row>
    <row r="429" spans="1:4" ht="12.75">
      <c r="A429" s="2">
        <v>108</v>
      </c>
      <c r="B429" s="6" t="s">
        <v>380</v>
      </c>
      <c r="C429" s="6" t="s">
        <v>432</v>
      </c>
      <c r="D429" s="29">
        <f>ROUND(92*1.09*1.12*1.18,1)</f>
        <v>132.5</v>
      </c>
    </row>
    <row r="430" spans="1:4" ht="12.75">
      <c r="A430" s="2">
        <v>109</v>
      </c>
      <c r="B430" s="6" t="s">
        <v>381</v>
      </c>
      <c r="C430" s="6" t="s">
        <v>20</v>
      </c>
      <c r="D430" s="29">
        <f>ROUND(59*1.05,0)</f>
        <v>62</v>
      </c>
    </row>
    <row r="431" spans="1:4" ht="12.75">
      <c r="A431" s="2">
        <v>110</v>
      </c>
      <c r="B431" s="6" t="s">
        <v>382</v>
      </c>
      <c r="C431" s="6" t="s">
        <v>20</v>
      </c>
      <c r="D431" s="29">
        <f>ROUND(24*1.05,0)</f>
        <v>25</v>
      </c>
    </row>
    <row r="432" spans="1:4" ht="12.75">
      <c r="A432" s="2">
        <v>111</v>
      </c>
      <c r="B432" s="6" t="s">
        <v>383</v>
      </c>
      <c r="C432" s="6" t="s">
        <v>432</v>
      </c>
      <c r="D432" s="29">
        <f>ROUND(75*1.09*1.12*1.18,1)</f>
        <v>108</v>
      </c>
    </row>
    <row r="433" spans="1:4" ht="12.75">
      <c r="A433" s="2">
        <v>112</v>
      </c>
      <c r="B433" s="6" t="s">
        <v>334</v>
      </c>
      <c r="C433" s="6" t="s">
        <v>539</v>
      </c>
      <c r="D433" s="29">
        <f>ROUND(224*1.09*1.12*1.18,1)</f>
        <v>322.7</v>
      </c>
    </row>
    <row r="434" spans="1:4" ht="12.75">
      <c r="A434" s="2">
        <v>113</v>
      </c>
      <c r="B434" s="6" t="s">
        <v>335</v>
      </c>
      <c r="C434" s="6" t="s">
        <v>539</v>
      </c>
      <c r="D434" s="29">
        <f>ROUND(427.3*1.18,1)</f>
        <v>504.2</v>
      </c>
    </row>
    <row r="435" spans="1:4" ht="12.75">
      <c r="A435" s="2">
        <v>114</v>
      </c>
      <c r="B435" s="6" t="s">
        <v>337</v>
      </c>
      <c r="C435" s="6" t="s">
        <v>20</v>
      </c>
      <c r="D435" s="29">
        <f>ROUND(76.5*1.09*1.12*1.18,1)</f>
        <v>110.2</v>
      </c>
    </row>
    <row r="436" spans="1:4" ht="12.75">
      <c r="A436" s="2">
        <v>115</v>
      </c>
      <c r="B436" s="6" t="s">
        <v>338</v>
      </c>
      <c r="C436" s="6" t="s">
        <v>20</v>
      </c>
      <c r="D436" s="29">
        <f>ROUND(271*1.09*1.12*1.18,1)</f>
        <v>390.4</v>
      </c>
    </row>
    <row r="437" spans="1:4" ht="12.75">
      <c r="A437" s="2">
        <v>116</v>
      </c>
      <c r="B437" s="6" t="s">
        <v>339</v>
      </c>
      <c r="C437" s="6" t="s">
        <v>20</v>
      </c>
      <c r="D437" s="29">
        <f>ROUND(73.9*1.09*1.12*1.18,1)</f>
        <v>106.5</v>
      </c>
    </row>
    <row r="438" spans="1:4" ht="12.75">
      <c r="A438" s="2">
        <v>117</v>
      </c>
      <c r="B438" s="6" t="s">
        <v>340</v>
      </c>
      <c r="C438" s="6" t="s">
        <v>20</v>
      </c>
      <c r="D438" s="29">
        <f>ROUND(95.2*1.09*1.12*1.18,1)</f>
        <v>137.1</v>
      </c>
    </row>
    <row r="439" spans="1:4" ht="12.75">
      <c r="A439" s="2">
        <v>118</v>
      </c>
      <c r="B439" s="6" t="s">
        <v>341</v>
      </c>
      <c r="C439" s="6" t="s">
        <v>20</v>
      </c>
      <c r="D439" s="29">
        <f>ROUND(17.7*1.09*1.12*1.18,1)</f>
        <v>25.5</v>
      </c>
    </row>
    <row r="440" spans="1:4" ht="10.5" customHeight="1">
      <c r="A440" s="2">
        <v>119</v>
      </c>
      <c r="B440" s="6" t="s">
        <v>342</v>
      </c>
      <c r="C440" s="6" t="s">
        <v>20</v>
      </c>
      <c r="D440" s="29">
        <v>128</v>
      </c>
    </row>
    <row r="441" spans="1:4" ht="12" customHeight="1">
      <c r="A441" s="2">
        <v>120</v>
      </c>
      <c r="B441" s="6" t="s">
        <v>343</v>
      </c>
      <c r="C441" s="6" t="s">
        <v>20</v>
      </c>
      <c r="D441" s="29">
        <v>164</v>
      </c>
    </row>
    <row r="442" spans="1:4" ht="12" customHeight="1">
      <c r="A442" s="2">
        <v>121</v>
      </c>
      <c r="B442" s="6" t="s">
        <v>521</v>
      </c>
      <c r="C442" s="6" t="s">
        <v>20</v>
      </c>
      <c r="D442" s="29">
        <v>15</v>
      </c>
    </row>
    <row r="443" spans="1:4" ht="12.75">
      <c r="A443" s="2">
        <v>122</v>
      </c>
      <c r="B443" s="6" t="s">
        <v>384</v>
      </c>
      <c r="C443" s="6" t="s">
        <v>432</v>
      </c>
      <c r="D443" s="29">
        <f>ROUND(92*1.09*1.12*1.18,1)</f>
        <v>132.5</v>
      </c>
    </row>
    <row r="444" spans="1:4" ht="12.75">
      <c r="A444" s="2">
        <v>123</v>
      </c>
      <c r="B444" s="6" t="s">
        <v>385</v>
      </c>
      <c r="C444" s="6" t="s">
        <v>432</v>
      </c>
      <c r="D444" s="29">
        <f>ROUND(74*1.09*1.12*1.18,1)</f>
        <v>106.6</v>
      </c>
    </row>
    <row r="445" spans="1:4" ht="12.75">
      <c r="A445" s="2">
        <v>124</v>
      </c>
      <c r="B445" s="6" t="s">
        <v>386</v>
      </c>
      <c r="C445" s="6" t="s">
        <v>433</v>
      </c>
      <c r="D445" s="29">
        <f>ROUND(498.5*1.09*1.12*1.18,0)</f>
        <v>718</v>
      </c>
    </row>
    <row r="446" spans="1:4" ht="12.75">
      <c r="A446" s="2"/>
      <c r="B446" s="20" t="s">
        <v>394</v>
      </c>
      <c r="C446" s="2"/>
      <c r="D446" s="2"/>
    </row>
    <row r="447" spans="1:4" ht="12.75">
      <c r="A447" s="6" t="s">
        <v>279</v>
      </c>
      <c r="B447" s="6" t="s">
        <v>395</v>
      </c>
      <c r="C447" s="6" t="s">
        <v>281</v>
      </c>
      <c r="D447" s="6" t="s">
        <v>396</v>
      </c>
    </row>
    <row r="448" spans="1:4" ht="12.75">
      <c r="A448" s="2">
        <v>1</v>
      </c>
      <c r="B448" s="6" t="s">
        <v>397</v>
      </c>
      <c r="C448" s="6" t="s">
        <v>20</v>
      </c>
      <c r="D448" s="31">
        <f>ROUND(149.6*1.18,1)</f>
        <v>176.5</v>
      </c>
    </row>
    <row r="449" spans="1:4" ht="12.75">
      <c r="A449" s="2">
        <v>2</v>
      </c>
      <c r="B449" s="6" t="s">
        <v>398</v>
      </c>
      <c r="C449" s="6" t="s">
        <v>20</v>
      </c>
      <c r="D449" s="31">
        <f>ROUND(374*1.12*1.18,0)</f>
        <v>494</v>
      </c>
    </row>
    <row r="450" spans="1:4" ht="12.75">
      <c r="A450" s="2">
        <v>3</v>
      </c>
      <c r="B450" s="6" t="s">
        <v>399</v>
      </c>
      <c r="C450" s="6" t="s">
        <v>432</v>
      </c>
      <c r="D450" s="31">
        <f>ROUND(120*1.09*1.12*1.18,0)</f>
        <v>173</v>
      </c>
    </row>
    <row r="451" spans="1:4" ht="12.75">
      <c r="A451" s="2">
        <v>4</v>
      </c>
      <c r="B451" s="9" t="s">
        <v>536</v>
      </c>
      <c r="C451" s="8" t="s">
        <v>20</v>
      </c>
      <c r="D451" s="8">
        <f>ROUND(19*1.18*1.18,2)</f>
        <v>26.46</v>
      </c>
    </row>
    <row r="452" spans="1:4" ht="12.75">
      <c r="A452" s="2"/>
      <c r="B452" s="20" t="s">
        <v>400</v>
      </c>
      <c r="C452" s="6"/>
      <c r="D452" s="31"/>
    </row>
    <row r="453" spans="1:4" ht="12.75">
      <c r="A453" s="2">
        <v>5</v>
      </c>
      <c r="B453" s="6" t="s">
        <v>401</v>
      </c>
      <c r="C453" s="6" t="s">
        <v>20</v>
      </c>
      <c r="D453" s="31">
        <f>ROUND(10.2*1.09*1.12*1.18,1)</f>
        <v>14.7</v>
      </c>
    </row>
    <row r="454" spans="1:4" ht="12.75">
      <c r="A454" s="2">
        <v>6</v>
      </c>
      <c r="B454" s="6" t="s">
        <v>402</v>
      </c>
      <c r="C454" s="6" t="s">
        <v>20</v>
      </c>
      <c r="D454" s="31">
        <f>ROUND(13.1*1.09*1.12*1.18,1)</f>
        <v>18.9</v>
      </c>
    </row>
    <row r="455" spans="1:4" ht="12.75">
      <c r="A455" s="2">
        <v>7</v>
      </c>
      <c r="B455" s="9" t="s">
        <v>403</v>
      </c>
      <c r="C455" s="6" t="s">
        <v>20</v>
      </c>
      <c r="D455" s="31">
        <f>ROUND(13.8*1.09*1.12*1.18,1)</f>
        <v>19.9</v>
      </c>
    </row>
    <row r="456" spans="1:4" ht="12.75">
      <c r="A456" s="2">
        <v>8</v>
      </c>
      <c r="B456" s="9" t="s">
        <v>404</v>
      </c>
      <c r="C456" s="6" t="s">
        <v>20</v>
      </c>
      <c r="D456" s="31">
        <f>ROUND(28.9*1.09*1.12*1.18,1)</f>
        <v>41.6</v>
      </c>
    </row>
    <row r="457" spans="1:4" ht="12.75">
      <c r="A457" s="2">
        <v>9</v>
      </c>
      <c r="B457" s="9" t="s">
        <v>405</v>
      </c>
      <c r="C457" s="6" t="s">
        <v>20</v>
      </c>
      <c r="D457" s="31">
        <f>ROUND(14.2*1.09*1.12*1.18,1)</f>
        <v>20.5</v>
      </c>
    </row>
    <row r="458" spans="1:4" ht="12.75">
      <c r="A458" s="2">
        <v>10</v>
      </c>
      <c r="B458" s="9" t="s">
        <v>406</v>
      </c>
      <c r="C458" s="6" t="s">
        <v>20</v>
      </c>
      <c r="D458" s="31">
        <f>ROUND(31*1.09*1.12*1.18,1)</f>
        <v>44.7</v>
      </c>
    </row>
    <row r="459" spans="1:4" ht="12.75">
      <c r="A459" s="2">
        <v>11</v>
      </c>
      <c r="B459" s="9" t="s">
        <v>407</v>
      </c>
      <c r="C459" s="6" t="s">
        <v>20</v>
      </c>
      <c r="D459" s="31">
        <f>ROUND(9.3*1.09*1.12*1.18,1)</f>
        <v>13.4</v>
      </c>
    </row>
    <row r="460" spans="1:4" ht="12.75">
      <c r="A460" s="2">
        <v>12</v>
      </c>
      <c r="B460" s="9" t="s">
        <v>408</v>
      </c>
      <c r="C460" s="6" t="s">
        <v>20</v>
      </c>
      <c r="D460" s="31">
        <f>ROUND(33.6*1.09*1.12*1.18,1)</f>
        <v>48.4</v>
      </c>
    </row>
    <row r="461" spans="1:4" ht="12.75">
      <c r="A461" s="2">
        <v>13</v>
      </c>
      <c r="B461" s="9" t="s">
        <v>409</v>
      </c>
      <c r="C461" s="6" t="s">
        <v>20</v>
      </c>
      <c r="D461" s="31">
        <v>50.8</v>
      </c>
    </row>
    <row r="462" spans="1:4" ht="12.75">
      <c r="A462" s="2"/>
      <c r="B462" s="19" t="s">
        <v>410</v>
      </c>
      <c r="C462" s="2"/>
      <c r="D462" s="31"/>
    </row>
    <row r="463" spans="1:4" ht="12.75">
      <c r="A463" s="2">
        <v>14</v>
      </c>
      <c r="B463" s="6" t="s">
        <v>411</v>
      </c>
      <c r="C463" s="6" t="s">
        <v>20</v>
      </c>
      <c r="D463" s="31">
        <f>ROUND(22.5*1.09*1.12*1.18,1)</f>
        <v>32.4</v>
      </c>
    </row>
    <row r="464" spans="1:4" ht="12.75">
      <c r="A464" s="2">
        <v>15</v>
      </c>
      <c r="B464" s="6" t="s">
        <v>412</v>
      </c>
      <c r="C464" s="6" t="s">
        <v>20</v>
      </c>
      <c r="D464" s="31">
        <f>ROUND(24.1*1.09*1.12*1.18,1)</f>
        <v>34.7</v>
      </c>
    </row>
    <row r="465" spans="1:4" ht="12.75">
      <c r="A465" s="2">
        <v>16</v>
      </c>
      <c r="B465" s="6" t="s">
        <v>413</v>
      </c>
      <c r="C465" s="6" t="s">
        <v>20</v>
      </c>
      <c r="D465" s="31">
        <f>ROUND(11.8*1.09*1.12*1.18,1)</f>
        <v>17</v>
      </c>
    </row>
    <row r="466" spans="1:4" ht="12.75">
      <c r="A466" s="2">
        <v>17</v>
      </c>
      <c r="B466" s="6" t="s">
        <v>414</v>
      </c>
      <c r="C466" s="6" t="s">
        <v>20</v>
      </c>
      <c r="D466" s="31">
        <f>ROUND(13.8*1.09*1.12*1.18,1)</f>
        <v>19.9</v>
      </c>
    </row>
    <row r="467" spans="1:4" ht="12.75">
      <c r="A467" s="2">
        <v>18</v>
      </c>
      <c r="B467" s="6" t="s">
        <v>415</v>
      </c>
      <c r="C467" s="6" t="s">
        <v>20</v>
      </c>
      <c r="D467" s="31">
        <f>ROUND(16.3*1.09*1.12*1.18,1)</f>
        <v>23.5</v>
      </c>
    </row>
    <row r="468" spans="1:4" ht="12" customHeight="1">
      <c r="A468" s="2">
        <v>19</v>
      </c>
      <c r="B468" s="6" t="s">
        <v>416</v>
      </c>
      <c r="C468" s="6" t="s">
        <v>20</v>
      </c>
      <c r="D468" s="31">
        <f>ROUND(10.6*1.09*1.12*1.18,1)</f>
        <v>15.3</v>
      </c>
    </row>
    <row r="469" spans="1:4" ht="12" customHeight="1">
      <c r="A469" s="2">
        <v>20</v>
      </c>
      <c r="B469" s="6" t="s">
        <v>423</v>
      </c>
      <c r="C469" s="6" t="s">
        <v>20</v>
      </c>
      <c r="D469" s="31">
        <f>ROUND(7.4*1.09*1.12*1.18,1)</f>
        <v>10.7</v>
      </c>
    </row>
    <row r="470" spans="1:4" ht="12" customHeight="1">
      <c r="A470" s="2">
        <v>21</v>
      </c>
      <c r="B470" s="6" t="s">
        <v>422</v>
      </c>
      <c r="C470" s="6" t="s">
        <v>20</v>
      </c>
      <c r="D470" s="31">
        <f>ROUND(7.4*1.09*1.12*1.18,1)</f>
        <v>10.7</v>
      </c>
    </row>
    <row r="471" spans="1:4" ht="12" customHeight="1">
      <c r="A471" s="2">
        <v>22</v>
      </c>
      <c r="B471" s="6" t="s">
        <v>418</v>
      </c>
      <c r="C471" s="6" t="s">
        <v>20</v>
      </c>
      <c r="D471" s="31">
        <f>ROUND(10*1.09*1.12*1.18,1)</f>
        <v>14.4</v>
      </c>
    </row>
    <row r="472" spans="1:4" ht="12.75">
      <c r="A472" s="2">
        <v>23</v>
      </c>
      <c r="B472" s="6" t="s">
        <v>417</v>
      </c>
      <c r="C472" s="6" t="s">
        <v>20</v>
      </c>
      <c r="D472" s="31">
        <f>ROUND(10*1.09*1.12*1.18,1)</f>
        <v>14.4</v>
      </c>
    </row>
    <row r="473" spans="1:4" ht="12.75">
      <c r="A473" s="2">
        <v>24</v>
      </c>
      <c r="B473" s="6" t="s">
        <v>428</v>
      </c>
      <c r="C473" s="6" t="s">
        <v>20</v>
      </c>
      <c r="D473" s="31">
        <f>ROUND(11*1.09*1.12*1.18,1)</f>
        <v>15.8</v>
      </c>
    </row>
    <row r="474" spans="1:4" ht="12.75">
      <c r="A474" s="2">
        <v>25</v>
      </c>
      <c r="B474" s="6" t="s">
        <v>424</v>
      </c>
      <c r="C474" s="6" t="s">
        <v>20</v>
      </c>
      <c r="D474" s="31">
        <f>ROUND(10.4*1.09*1.12*1.18,1)</f>
        <v>15</v>
      </c>
    </row>
    <row r="475" spans="1:4" ht="12.75">
      <c r="A475" s="2">
        <v>26</v>
      </c>
      <c r="B475" s="6" t="s">
        <v>419</v>
      </c>
      <c r="C475" s="6" t="s">
        <v>20</v>
      </c>
      <c r="D475" s="31">
        <f>ROUND(11.5*1.09*1.12*1.18,1)</f>
        <v>16.6</v>
      </c>
    </row>
    <row r="476" spans="1:4" ht="12.75">
      <c r="A476" s="2">
        <v>27</v>
      </c>
      <c r="B476" s="6" t="s">
        <v>420</v>
      </c>
      <c r="C476" s="6" t="s">
        <v>20</v>
      </c>
      <c r="D476" s="31">
        <f>ROUND(16.5*1.09*1.12*1.18,1)</f>
        <v>23.8</v>
      </c>
    </row>
    <row r="477" spans="1:4" ht="12.75">
      <c r="A477" s="2">
        <v>28</v>
      </c>
      <c r="B477" s="6" t="s">
        <v>425</v>
      </c>
      <c r="C477" s="6" t="s">
        <v>20</v>
      </c>
      <c r="D477" s="31">
        <f>ROUND(13.5*1.09*1.12*1.18,1)</f>
        <v>19.4</v>
      </c>
    </row>
    <row r="478" spans="1:4" ht="12.75">
      <c r="A478" s="2">
        <v>29</v>
      </c>
      <c r="B478" s="6" t="s">
        <v>426</v>
      </c>
      <c r="C478" s="6" t="s">
        <v>20</v>
      </c>
      <c r="D478" s="31">
        <f>ROUND(14*1.09*1.12*1.18,1)</f>
        <v>20.2</v>
      </c>
    </row>
    <row r="479" spans="1:4" ht="12.75">
      <c r="A479" s="2">
        <v>30</v>
      </c>
      <c r="B479" s="6" t="s">
        <v>429</v>
      </c>
      <c r="C479" s="6" t="s">
        <v>20</v>
      </c>
      <c r="D479" s="31">
        <f>ROUND(18.8*1.09*1.12*1.18,1)</f>
        <v>27.1</v>
      </c>
    </row>
    <row r="480" spans="1:4" ht="12.75">
      <c r="A480" s="2">
        <v>31</v>
      </c>
      <c r="B480" s="6" t="s">
        <v>427</v>
      </c>
      <c r="C480" s="6" t="s">
        <v>20</v>
      </c>
      <c r="D480" s="31">
        <f>ROUND(17.8*1.09*1.12*1.18,1)</f>
        <v>25.6</v>
      </c>
    </row>
    <row r="481" spans="1:4" ht="12.75">
      <c r="A481" s="2">
        <v>32</v>
      </c>
      <c r="B481" s="6" t="s">
        <v>421</v>
      </c>
      <c r="C481" s="6" t="s">
        <v>20</v>
      </c>
      <c r="D481" s="31">
        <f>ROUND(18.5*1.09*1.12*1.18,1)</f>
        <v>26.7</v>
      </c>
    </row>
    <row r="482" spans="1:4" ht="12.75">
      <c r="A482" s="2">
        <v>33</v>
      </c>
      <c r="B482" s="6" t="s">
        <v>430</v>
      </c>
      <c r="C482" s="6" t="s">
        <v>20</v>
      </c>
      <c r="D482" s="31">
        <f>ROUND(21.3*1.09*1.12*1.18,1)</f>
        <v>30.7</v>
      </c>
    </row>
    <row r="483" spans="1:4" ht="12.75">
      <c r="A483" s="2">
        <v>34</v>
      </c>
      <c r="B483" s="6" t="s">
        <v>431</v>
      </c>
      <c r="C483" s="6" t="s">
        <v>432</v>
      </c>
      <c r="D483" s="31">
        <v>180</v>
      </c>
    </row>
    <row r="484" spans="1:4" ht="12.75">
      <c r="A484" s="8">
        <v>35</v>
      </c>
      <c r="B484" s="6" t="s">
        <v>540</v>
      </c>
      <c r="C484" s="6" t="s">
        <v>20</v>
      </c>
      <c r="D484" s="31">
        <v>11.2</v>
      </c>
    </row>
    <row r="485" spans="1:4" ht="12.75">
      <c r="A485" s="8">
        <v>36</v>
      </c>
      <c r="B485" s="6" t="s">
        <v>541</v>
      </c>
      <c r="C485" s="6" t="s">
        <v>20</v>
      </c>
      <c r="D485" s="31">
        <v>16.8</v>
      </c>
    </row>
    <row r="486" spans="1:4" ht="12.75">
      <c r="A486" s="8">
        <v>37</v>
      </c>
      <c r="B486" s="6" t="s">
        <v>543</v>
      </c>
      <c r="C486" s="6" t="s">
        <v>20</v>
      </c>
      <c r="D486" s="31">
        <v>16.8</v>
      </c>
    </row>
    <row r="487" spans="1:4" ht="12.75">
      <c r="A487" s="8">
        <v>38</v>
      </c>
      <c r="B487" s="6" t="s">
        <v>542</v>
      </c>
      <c r="C487" s="6" t="s">
        <v>20</v>
      </c>
      <c r="D487" s="31">
        <v>16.8</v>
      </c>
    </row>
    <row r="488" spans="1:2" ht="15.75">
      <c r="A488" s="21"/>
      <c r="B488" s="33" t="s">
        <v>437</v>
      </c>
    </row>
    <row r="489" spans="1:4" ht="12.75">
      <c r="A489" s="34"/>
      <c r="B489" s="36" t="s">
        <v>434</v>
      </c>
      <c r="C489" s="36"/>
      <c r="D489" s="36" t="s">
        <v>475</v>
      </c>
    </row>
    <row r="490" spans="1:4" ht="12.75">
      <c r="A490" s="35"/>
      <c r="B490" s="37"/>
      <c r="C490" s="37"/>
      <c r="D490" s="37" t="s">
        <v>476</v>
      </c>
    </row>
    <row r="491" spans="1:4" ht="12.75">
      <c r="A491" s="34">
        <v>1</v>
      </c>
      <c r="B491" s="36" t="s">
        <v>435</v>
      </c>
      <c r="C491" s="36"/>
      <c r="D491" s="47">
        <v>73</v>
      </c>
    </row>
    <row r="492" spans="1:4" ht="12.75">
      <c r="A492" s="35"/>
      <c r="B492" s="37" t="s">
        <v>436</v>
      </c>
      <c r="C492" s="37"/>
      <c r="D492" s="35"/>
    </row>
    <row r="493" spans="1:2" ht="15.75">
      <c r="A493" s="21"/>
      <c r="B493" s="48" t="s">
        <v>552</v>
      </c>
    </row>
    <row r="494" spans="1:4" ht="12.75">
      <c r="A494" s="34"/>
      <c r="B494" s="49" t="s">
        <v>549</v>
      </c>
      <c r="C494" s="36" t="s">
        <v>281</v>
      </c>
      <c r="D494" s="36" t="s">
        <v>282</v>
      </c>
    </row>
    <row r="495" spans="1:4" ht="12.75">
      <c r="A495" s="2">
        <v>1</v>
      </c>
      <c r="B495" s="6" t="s">
        <v>550</v>
      </c>
      <c r="C495" s="6" t="s">
        <v>432</v>
      </c>
      <c r="D495" s="3">
        <v>147</v>
      </c>
    </row>
    <row r="496" spans="2:3" ht="15.75">
      <c r="B496" s="33" t="s">
        <v>464</v>
      </c>
      <c r="C496" s="4"/>
    </row>
    <row r="497" spans="1:4" ht="12.75">
      <c r="A497" s="34"/>
      <c r="B497" s="36" t="s">
        <v>434</v>
      </c>
      <c r="C497" s="36" t="s">
        <v>450</v>
      </c>
      <c r="D497" s="36" t="s">
        <v>551</v>
      </c>
    </row>
    <row r="498" spans="1:4" ht="12.75">
      <c r="A498" s="35"/>
      <c r="B498" s="37"/>
      <c r="C498" s="37" t="s">
        <v>451</v>
      </c>
      <c r="D498" s="37"/>
    </row>
    <row r="499" spans="1:4" ht="12.75">
      <c r="A499" s="2">
        <v>1</v>
      </c>
      <c r="B499" s="6" t="s">
        <v>438</v>
      </c>
      <c r="C499" s="6" t="s">
        <v>452</v>
      </c>
      <c r="D499" s="14">
        <f>ROUND(110*1.12*1.18,0)</f>
        <v>145</v>
      </c>
    </row>
    <row r="500" spans="1:4" ht="12.75">
      <c r="A500" s="2">
        <v>2</v>
      </c>
      <c r="B500" s="6" t="s">
        <v>439</v>
      </c>
      <c r="C500" s="6" t="s">
        <v>453</v>
      </c>
      <c r="D500" s="14">
        <f>ROUND(115*1.12*1.18,0)</f>
        <v>152</v>
      </c>
    </row>
    <row r="501" spans="1:4" ht="12.75">
      <c r="A501" s="2">
        <v>3</v>
      </c>
      <c r="B501" s="6" t="s">
        <v>440</v>
      </c>
      <c r="C501" s="6" t="s">
        <v>454</v>
      </c>
      <c r="D501" s="14">
        <f>ROUND(110*1.12*1.18,0)</f>
        <v>145</v>
      </c>
    </row>
    <row r="502" spans="1:4" ht="12.75">
      <c r="A502" s="2">
        <v>4</v>
      </c>
      <c r="B502" s="6" t="s">
        <v>478</v>
      </c>
      <c r="C502" s="6" t="s">
        <v>479</v>
      </c>
      <c r="D502" s="14">
        <f>ROUND(98*1.12*1.18,0)</f>
        <v>130</v>
      </c>
    </row>
    <row r="503" spans="1:4" ht="12.75">
      <c r="A503" s="2">
        <v>5</v>
      </c>
      <c r="B503" s="6" t="s">
        <v>441</v>
      </c>
      <c r="C503" s="6" t="s">
        <v>455</v>
      </c>
      <c r="D503" s="14">
        <f>ROUND(90*1.12*1.18,0)</f>
        <v>119</v>
      </c>
    </row>
    <row r="504" spans="1:4" ht="12.75">
      <c r="A504" s="2">
        <v>6</v>
      </c>
      <c r="B504" s="6" t="s">
        <v>477</v>
      </c>
      <c r="C504" s="6" t="s">
        <v>455</v>
      </c>
      <c r="D504" s="14">
        <f>ROUND(90*1.12*1.18,0)</f>
        <v>119</v>
      </c>
    </row>
    <row r="505" spans="1:4" ht="12.75">
      <c r="A505" s="2">
        <v>7</v>
      </c>
      <c r="B505" s="6" t="s">
        <v>442</v>
      </c>
      <c r="C505" s="6" t="s">
        <v>456</v>
      </c>
      <c r="D505" s="14">
        <f>ROUND(135*1.18,0)</f>
        <v>159</v>
      </c>
    </row>
    <row r="506" spans="1:4" ht="12.75">
      <c r="A506" s="2">
        <v>8</v>
      </c>
      <c r="B506" s="6">
        <v>2462</v>
      </c>
      <c r="C506" s="6" t="s">
        <v>480</v>
      </c>
      <c r="D506" s="14">
        <f>ROUND(96*1.12*1.18,0)</f>
        <v>127</v>
      </c>
    </row>
    <row r="507" spans="1:4" ht="12.75">
      <c r="A507" s="2">
        <v>9</v>
      </c>
      <c r="B507" s="6" t="s">
        <v>443</v>
      </c>
      <c r="C507" s="6" t="s">
        <v>457</v>
      </c>
      <c r="D507" s="14">
        <f>ROUND(115*1.12*1.18,0)</f>
        <v>152</v>
      </c>
    </row>
    <row r="508" spans="1:4" ht="12.75">
      <c r="A508" s="2">
        <v>10</v>
      </c>
      <c r="B508" s="6" t="s">
        <v>444</v>
      </c>
      <c r="C508" s="6" t="s">
        <v>458</v>
      </c>
      <c r="D508" s="14">
        <f>ROUND(96*1.12*1.18,0)</f>
        <v>127</v>
      </c>
    </row>
    <row r="509" spans="1:4" ht="12.75">
      <c r="A509" s="2">
        <v>11</v>
      </c>
      <c r="B509" s="6" t="s">
        <v>445</v>
      </c>
      <c r="C509" s="6" t="s">
        <v>459</v>
      </c>
      <c r="D509" s="14">
        <f>ROUND(96*1.12*1.18,0)</f>
        <v>127</v>
      </c>
    </row>
    <row r="510" spans="1:4" ht="12.75">
      <c r="A510" s="2">
        <v>12</v>
      </c>
      <c r="B510" s="6" t="s">
        <v>446</v>
      </c>
      <c r="C510" s="6" t="s">
        <v>460</v>
      </c>
      <c r="D510" s="14">
        <f>ROUND(96*1.12*1.18,0)</f>
        <v>127</v>
      </c>
    </row>
    <row r="511" spans="1:4" ht="12.75">
      <c r="A511" s="2">
        <v>13</v>
      </c>
      <c r="B511" s="6" t="s">
        <v>447</v>
      </c>
      <c r="C511" s="6" t="s">
        <v>461</v>
      </c>
      <c r="D511" s="14">
        <f>ROUND(92*1.12*1.18,0)</f>
        <v>122</v>
      </c>
    </row>
    <row r="512" spans="1:4" ht="12.75">
      <c r="A512" s="2">
        <v>14</v>
      </c>
      <c r="B512" s="6" t="s">
        <v>448</v>
      </c>
      <c r="C512" s="6" t="s">
        <v>462</v>
      </c>
      <c r="D512" s="14">
        <f>ROUND(98*1.12*1.18,0)</f>
        <v>130</v>
      </c>
    </row>
    <row r="513" spans="1:4" ht="12.75">
      <c r="A513" s="2">
        <v>15</v>
      </c>
      <c r="B513" s="6" t="s">
        <v>449</v>
      </c>
      <c r="C513" s="6" t="s">
        <v>463</v>
      </c>
      <c r="D513" s="14">
        <f>ROUND(98*1.12*1.18,0)</f>
        <v>130</v>
      </c>
    </row>
    <row r="514" ht="12.75">
      <c r="B514" s="32" t="s">
        <v>465</v>
      </c>
    </row>
    <row r="515" spans="1:4" ht="12.75">
      <c r="A515" s="2">
        <v>1</v>
      </c>
      <c r="B515" s="6" t="s">
        <v>466</v>
      </c>
      <c r="C515" s="6" t="s">
        <v>462</v>
      </c>
      <c r="D515" s="14">
        <v>148</v>
      </c>
    </row>
    <row r="516" ht="12.75">
      <c r="B516" s="32" t="s">
        <v>467</v>
      </c>
    </row>
    <row r="517" spans="1:4" ht="12.75">
      <c r="A517" s="2">
        <v>1</v>
      </c>
      <c r="B517" s="6" t="s">
        <v>468</v>
      </c>
      <c r="C517" s="6" t="s">
        <v>469</v>
      </c>
      <c r="D517" s="14">
        <f>ROUND(98*1.12*1.18,0)</f>
        <v>130</v>
      </c>
    </row>
    <row r="518" spans="1:4" ht="12.75">
      <c r="A518" s="2">
        <v>2</v>
      </c>
      <c r="B518" s="6" t="s">
        <v>470</v>
      </c>
      <c r="C518" s="6" t="s">
        <v>471</v>
      </c>
      <c r="D518" s="14">
        <f>ROUND(110*1.12*1.18,0)</f>
        <v>145</v>
      </c>
    </row>
    <row r="519" spans="1:4" ht="12.75">
      <c r="A519" s="2">
        <v>3</v>
      </c>
      <c r="B519" s="6" t="s">
        <v>481</v>
      </c>
      <c r="C519" s="6" t="s">
        <v>482</v>
      </c>
      <c r="D519" s="14">
        <f>ROUND(81*1.2*1.12*1.18,0)</f>
        <v>128</v>
      </c>
    </row>
    <row r="520" spans="1:4" ht="12.75">
      <c r="A520" s="2">
        <v>4</v>
      </c>
      <c r="B520" s="6" t="s">
        <v>483</v>
      </c>
      <c r="C520" s="6" t="s">
        <v>484</v>
      </c>
      <c r="D520" s="14">
        <f>ROUND(110*1.12*1.18,0)</f>
        <v>145</v>
      </c>
    </row>
    <row r="521" spans="1:4" ht="12.75">
      <c r="A521" s="2">
        <v>5</v>
      </c>
      <c r="B521" s="6" t="s">
        <v>485</v>
      </c>
      <c r="C521" s="6" t="s">
        <v>486</v>
      </c>
      <c r="D521" s="14">
        <f>ROUND(100*1.12*1.18,0)</f>
        <v>132</v>
      </c>
    </row>
    <row r="522" spans="1:4" ht="12.75">
      <c r="A522" s="2">
        <v>6</v>
      </c>
      <c r="B522" s="6" t="s">
        <v>487</v>
      </c>
      <c r="C522" s="6" t="s">
        <v>486</v>
      </c>
      <c r="D522" s="14">
        <f>ROUND(100*1.12*1.18,0)</f>
        <v>132</v>
      </c>
    </row>
    <row r="523" spans="1:4" ht="12.75">
      <c r="A523" s="2">
        <v>7</v>
      </c>
      <c r="B523" s="6" t="s">
        <v>488</v>
      </c>
      <c r="C523" s="6" t="s">
        <v>486</v>
      </c>
      <c r="D523" s="14">
        <f>ROUND(81*1.2*1.12*1.18,0)</f>
        <v>128</v>
      </c>
    </row>
    <row r="524" spans="1:4" ht="12.75">
      <c r="A524" s="2">
        <v>8</v>
      </c>
      <c r="B524" s="6" t="s">
        <v>489</v>
      </c>
      <c r="C524" s="6" t="s">
        <v>490</v>
      </c>
      <c r="D524" s="14">
        <f>ROUND(129*1.12*1.18,0)</f>
        <v>170</v>
      </c>
    </row>
    <row r="525" spans="1:4" ht="12.75">
      <c r="A525" s="2">
        <v>9</v>
      </c>
      <c r="B525" s="6" t="s">
        <v>491</v>
      </c>
      <c r="C525" s="6" t="s">
        <v>492</v>
      </c>
      <c r="D525" s="14">
        <f>ROUND(81*1.2*1.12*1.18,0)</f>
        <v>128</v>
      </c>
    </row>
    <row r="526" spans="1:4" ht="12.75">
      <c r="A526" s="2">
        <v>11</v>
      </c>
      <c r="B526" s="6" t="s">
        <v>493</v>
      </c>
      <c r="C526" s="6" t="s">
        <v>494</v>
      </c>
      <c r="D526" s="14">
        <f>ROUND(110*1.12*1.18,0)</f>
        <v>145</v>
      </c>
    </row>
    <row r="527" spans="1:4" ht="12.75">
      <c r="A527" s="2">
        <v>12</v>
      </c>
      <c r="B527" s="6">
        <v>590</v>
      </c>
      <c r="C527" s="6" t="s">
        <v>473</v>
      </c>
      <c r="D527" s="14">
        <f>ROUND(78*1.2*1.12*1.18,0)</f>
        <v>124</v>
      </c>
    </row>
    <row r="528" spans="1:4" ht="12.75">
      <c r="A528" s="2">
        <v>13</v>
      </c>
      <c r="B528" s="6">
        <v>4121</v>
      </c>
      <c r="C528" s="6" t="s">
        <v>472</v>
      </c>
      <c r="D528" s="14">
        <f>ROUND(111*1.12*1.18,0)</f>
        <v>147</v>
      </c>
    </row>
    <row r="529" spans="1:4" ht="12.75">
      <c r="A529" s="2">
        <v>14</v>
      </c>
      <c r="B529" s="6">
        <v>6190</v>
      </c>
      <c r="C529" s="6" t="s">
        <v>495</v>
      </c>
      <c r="D529" s="14">
        <f>ROUND(78*1.2*1.12*1.18,0)</f>
        <v>124</v>
      </c>
    </row>
    <row r="530" spans="1:4" ht="12.75">
      <c r="A530" s="2"/>
      <c r="B530" s="6" t="s">
        <v>474</v>
      </c>
      <c r="C530" s="2"/>
      <c r="D530" s="14">
        <f>ROUND(5*1.12*1.18,0)</f>
        <v>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2009-10-02T05:34:07Z</cp:lastPrinted>
  <dcterms:created xsi:type="dcterms:W3CDTF">1996-10-08T23:32:33Z</dcterms:created>
  <dcterms:modified xsi:type="dcterms:W3CDTF">2010-03-31T04:12:03Z</dcterms:modified>
  <cp:category/>
  <cp:version/>
  <cp:contentType/>
  <cp:contentStatus/>
</cp:coreProperties>
</file>